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240" windowHeight="7995"/>
  </bookViews>
  <sheets>
    <sheet name="Sheet1" sheetId="1" r:id="rId1"/>
    <sheet name="Sheet2" sheetId="2" r:id="rId2"/>
    <sheet name="Sheet3" sheetId="3" r:id="rId3"/>
    <sheet name="ModelRiskSYS1" sheetId="4" state="hidden" r:id="rId4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Z34" i="1" l="1"/>
  <c r="Y34" i="1"/>
  <c r="X34" i="1"/>
  <c r="W34" i="1"/>
  <c r="V34" i="1"/>
  <c r="U34" i="1"/>
  <c r="T34" i="1"/>
  <c r="S34" i="1"/>
  <c r="R34" i="1"/>
  <c r="V33" i="1"/>
  <c r="U33" i="1"/>
  <c r="T33" i="1"/>
  <c r="S33" i="1"/>
  <c r="R33" i="1"/>
  <c r="W33" i="1" l="1"/>
  <c r="B16" i="1"/>
  <c r="Y33" i="1" l="1"/>
  <c r="Z33" i="1" s="1"/>
  <c r="X33" i="1"/>
  <c r="Z37" i="1"/>
  <c r="Z67" i="1" s="1"/>
  <c r="Y37" i="1"/>
  <c r="X37" i="1"/>
  <c r="X67" i="1" s="1"/>
  <c r="W37" i="1"/>
  <c r="W67" i="1" s="1"/>
  <c r="V37" i="1"/>
  <c r="V67" i="1" s="1"/>
  <c r="U37" i="1"/>
  <c r="T37" i="1"/>
  <c r="T67" i="1" s="1"/>
  <c r="S37" i="1"/>
  <c r="S67" i="1" s="1"/>
  <c r="R37" i="1"/>
  <c r="R67" i="1" s="1"/>
  <c r="Q37" i="1"/>
  <c r="Y67" i="1"/>
  <c r="U67" i="1"/>
  <c r="Q67" i="1"/>
  <c r="O37" i="1"/>
  <c r="AA67" i="1" l="1"/>
  <c r="AA37" i="1"/>
  <c r="AB37" i="1" s="1"/>
  <c r="O51" i="1"/>
  <c r="B52" i="1" l="1"/>
  <c r="Y52" i="1" s="1"/>
  <c r="O52" i="1"/>
  <c r="E22" i="1"/>
  <c r="F22" i="1"/>
  <c r="O23" i="1"/>
  <c r="O24" i="1"/>
  <c r="O25" i="1"/>
  <c r="O26" i="1"/>
  <c r="O27" i="1"/>
  <c r="E29" i="1"/>
  <c r="F29" i="1"/>
  <c r="R29" i="1" s="1"/>
  <c r="R66" i="1" s="1"/>
  <c r="G29" i="1"/>
  <c r="S29" i="1" s="1"/>
  <c r="S66" i="1" s="1"/>
  <c r="O40" i="1"/>
  <c r="O41" i="1"/>
  <c r="O45" i="1"/>
  <c r="O46" i="1"/>
  <c r="O47" i="1"/>
  <c r="C51" i="1"/>
  <c r="Z51" i="1" s="1"/>
  <c r="Z45" i="1"/>
  <c r="Y45" i="1"/>
  <c r="X45" i="1"/>
  <c r="W45" i="1"/>
  <c r="V45" i="1"/>
  <c r="U45" i="1"/>
  <c r="T45" i="1"/>
  <c r="S45" i="1"/>
  <c r="R45" i="1"/>
  <c r="Q45" i="1"/>
  <c r="Q23" i="1"/>
  <c r="R23" i="1"/>
  <c r="S23" i="1"/>
  <c r="T23" i="1"/>
  <c r="U23" i="1"/>
  <c r="V23" i="1"/>
  <c r="W23" i="1"/>
  <c r="X23" i="1"/>
  <c r="Y23" i="1"/>
  <c r="Z23" i="1"/>
  <c r="Q25" i="1"/>
  <c r="R25" i="1"/>
  <c r="S25" i="1"/>
  <c r="T25" i="1"/>
  <c r="U25" i="1"/>
  <c r="V25" i="1"/>
  <c r="W25" i="1"/>
  <c r="X25" i="1"/>
  <c r="Y25" i="1"/>
  <c r="Z25" i="1"/>
  <c r="Q26" i="1"/>
  <c r="R26" i="1"/>
  <c r="S26" i="1"/>
  <c r="T26" i="1"/>
  <c r="U26" i="1"/>
  <c r="V26" i="1"/>
  <c r="W26" i="1"/>
  <c r="X26" i="1"/>
  <c r="Y26" i="1"/>
  <c r="Z26" i="1"/>
  <c r="T29" i="1"/>
  <c r="T66" i="1" s="1"/>
  <c r="U29" i="1"/>
  <c r="U66" i="1" s="1"/>
  <c r="V29" i="1"/>
  <c r="V66" i="1" s="1"/>
  <c r="W29" i="1"/>
  <c r="W66" i="1" s="1"/>
  <c r="X29" i="1"/>
  <c r="X66" i="1" s="1"/>
  <c r="Y29" i="1"/>
  <c r="Y66" i="1" s="1"/>
  <c r="Z29" i="1"/>
  <c r="Z66" i="1" s="1"/>
  <c r="V22" i="1"/>
  <c r="W22" i="1"/>
  <c r="X22" i="1"/>
  <c r="Y22" i="1"/>
  <c r="Z22" i="1"/>
  <c r="B40" i="1"/>
  <c r="B41" i="1" s="1"/>
  <c r="C41" i="1" s="1"/>
  <c r="C45" i="1"/>
  <c r="B47" i="1"/>
  <c r="C47" i="1" s="1"/>
  <c r="B46" i="1"/>
  <c r="C27" i="1"/>
  <c r="T27" i="1" s="1"/>
  <c r="C24" i="1"/>
  <c r="R24" i="1" l="1"/>
  <c r="C28" i="1"/>
  <c r="C30" i="1" s="1"/>
  <c r="C57" i="1" s="1"/>
  <c r="Q52" i="1"/>
  <c r="T52" i="1"/>
  <c r="W52" i="1"/>
  <c r="U52" i="1"/>
  <c r="X52" i="1"/>
  <c r="R52" i="1"/>
  <c r="V52" i="1"/>
  <c r="Z52" i="1"/>
  <c r="Z53" i="1" s="1"/>
  <c r="Z71" i="1" s="1"/>
  <c r="C52" i="1"/>
  <c r="C53" i="1" s="1"/>
  <c r="S52" i="1"/>
  <c r="O22" i="1"/>
  <c r="U47" i="1"/>
  <c r="O29" i="1"/>
  <c r="Y72" i="1"/>
  <c r="Q29" i="1"/>
  <c r="S51" i="1"/>
  <c r="W51" i="1"/>
  <c r="T51" i="1"/>
  <c r="T53" i="1" s="1"/>
  <c r="T71" i="1" s="1"/>
  <c r="X51" i="1"/>
  <c r="Q51" i="1"/>
  <c r="U51" i="1"/>
  <c r="Y51" i="1"/>
  <c r="Y53" i="1" s="1"/>
  <c r="Y71" i="1" s="1"/>
  <c r="R51" i="1"/>
  <c r="V51" i="1"/>
  <c r="S46" i="1"/>
  <c r="W47" i="1"/>
  <c r="W46" i="1"/>
  <c r="Y47" i="1"/>
  <c r="Q47" i="1"/>
  <c r="U27" i="1"/>
  <c r="X40" i="1"/>
  <c r="X68" i="1" s="1"/>
  <c r="Z41" i="1"/>
  <c r="Z69" i="1" s="1"/>
  <c r="S27" i="1"/>
  <c r="T72" i="1"/>
  <c r="R40" i="1"/>
  <c r="R68" i="1" s="1"/>
  <c r="Z40" i="1"/>
  <c r="Z68" i="1" s="1"/>
  <c r="Y27" i="1"/>
  <c r="Q27" i="1"/>
  <c r="X72" i="1"/>
  <c r="T40" i="1"/>
  <c r="T68" i="1" s="1"/>
  <c r="R41" i="1"/>
  <c r="R69" i="1" s="1"/>
  <c r="S47" i="1"/>
  <c r="W27" i="1"/>
  <c r="V40" i="1"/>
  <c r="V68" i="1" s="1"/>
  <c r="V41" i="1"/>
  <c r="V69" i="1" s="1"/>
  <c r="AA25" i="1"/>
  <c r="AB25" i="1" s="1"/>
  <c r="AA26" i="1"/>
  <c r="AB26" i="1" s="1"/>
  <c r="AA23" i="1"/>
  <c r="AB23" i="1" s="1"/>
  <c r="S24" i="1"/>
  <c r="Y24" i="1"/>
  <c r="U24" i="1"/>
  <c r="Q24" i="1"/>
  <c r="R72" i="1"/>
  <c r="V72" i="1"/>
  <c r="Z72" i="1"/>
  <c r="T41" i="1"/>
  <c r="T69" i="1" s="1"/>
  <c r="X41" i="1"/>
  <c r="X69" i="1" s="1"/>
  <c r="Q46" i="1"/>
  <c r="U46" i="1"/>
  <c r="Y46" i="1"/>
  <c r="Z27" i="1"/>
  <c r="V27" i="1"/>
  <c r="R27" i="1"/>
  <c r="X24" i="1"/>
  <c r="T24" i="1"/>
  <c r="S72" i="1"/>
  <c r="W72" i="1"/>
  <c r="S40" i="1"/>
  <c r="S68" i="1" s="1"/>
  <c r="W40" i="1"/>
  <c r="W68" i="1" s="1"/>
  <c r="Q41" i="1"/>
  <c r="Q69" i="1" s="1"/>
  <c r="U41" i="1"/>
  <c r="U69" i="1" s="1"/>
  <c r="Y41" i="1"/>
  <c r="Y69" i="1" s="1"/>
  <c r="AA45" i="1"/>
  <c r="AB45" i="1" s="1"/>
  <c r="R46" i="1"/>
  <c r="V46" i="1"/>
  <c r="Z46" i="1"/>
  <c r="T47" i="1"/>
  <c r="X47" i="1"/>
  <c r="W24" i="1"/>
  <c r="W28" i="1" s="1"/>
  <c r="X27" i="1"/>
  <c r="Z24" i="1"/>
  <c r="Z28" i="1" s="1"/>
  <c r="V24" i="1"/>
  <c r="V28" i="1" s="1"/>
  <c r="Q72" i="1"/>
  <c r="U72" i="1"/>
  <c r="Q40" i="1"/>
  <c r="Q68" i="1" s="1"/>
  <c r="U40" i="1"/>
  <c r="U68" i="1" s="1"/>
  <c r="Y40" i="1"/>
  <c r="Y68" i="1" s="1"/>
  <c r="S41" i="1"/>
  <c r="S69" i="1" s="1"/>
  <c r="W41" i="1"/>
  <c r="W69" i="1" s="1"/>
  <c r="T46" i="1"/>
  <c r="X46" i="1"/>
  <c r="R47" i="1"/>
  <c r="V47" i="1"/>
  <c r="Z47" i="1"/>
  <c r="C46" i="1"/>
  <c r="C48" i="1" s="1"/>
  <c r="C40" i="1"/>
  <c r="C42" i="1" s="1"/>
  <c r="Y28" i="1" l="1"/>
  <c r="Y65" i="1" s="1"/>
  <c r="X28" i="1"/>
  <c r="X65" i="1" s="1"/>
  <c r="W30" i="1"/>
  <c r="W65" i="1"/>
  <c r="Z65" i="1"/>
  <c r="Z30" i="1"/>
  <c r="V30" i="1"/>
  <c r="V65" i="1"/>
  <c r="AA72" i="1"/>
  <c r="AA69" i="1"/>
  <c r="AA68" i="1"/>
  <c r="S53" i="1"/>
  <c r="S71" i="1" s="1"/>
  <c r="R53" i="1"/>
  <c r="R71" i="1" s="1"/>
  <c r="X53" i="1"/>
  <c r="X71" i="1" s="1"/>
  <c r="AA29" i="1"/>
  <c r="AB29" i="1" s="1"/>
  <c r="Q66" i="1"/>
  <c r="AA66" i="1" s="1"/>
  <c r="U53" i="1"/>
  <c r="U71" i="1" s="1"/>
  <c r="W53" i="1"/>
  <c r="W71" i="1" s="1"/>
  <c r="C56" i="1"/>
  <c r="V53" i="1"/>
  <c r="V71" i="1" s="1"/>
  <c r="Q53" i="1"/>
  <c r="Q71" i="1" s="1"/>
  <c r="U42" i="1"/>
  <c r="AA52" i="1"/>
  <c r="AB52" i="1" s="1"/>
  <c r="Q42" i="1"/>
  <c r="Y42" i="1"/>
  <c r="AA51" i="1"/>
  <c r="AB51" i="1" s="1"/>
  <c r="AA47" i="1"/>
  <c r="AB47" i="1" s="1"/>
  <c r="S42" i="1"/>
  <c r="W42" i="1"/>
  <c r="X42" i="1"/>
  <c r="Z42" i="1"/>
  <c r="V42" i="1"/>
  <c r="T42" i="1"/>
  <c r="AA46" i="1"/>
  <c r="AB46" i="1" s="1"/>
  <c r="R42" i="1"/>
  <c r="AA27" i="1"/>
  <c r="AB27" i="1" s="1"/>
  <c r="AA41" i="1"/>
  <c r="AB41" i="1" s="1"/>
  <c r="AA34" i="1"/>
  <c r="AA24" i="1"/>
  <c r="AB24" i="1" s="1"/>
  <c r="AA40" i="1"/>
  <c r="U22" i="1"/>
  <c r="U28" i="1" s="1"/>
  <c r="T22" i="1"/>
  <c r="T28" i="1" s="1"/>
  <c r="S22" i="1"/>
  <c r="S28" i="1" s="1"/>
  <c r="R22" i="1"/>
  <c r="R28" i="1" s="1"/>
  <c r="Q22" i="1"/>
  <c r="Q28" i="1" s="1"/>
  <c r="Q76" i="1"/>
  <c r="R76" i="1" s="1"/>
  <c r="S76" i="1" s="1"/>
  <c r="T76" i="1" s="1"/>
  <c r="U76" i="1" s="1"/>
  <c r="V76" i="1" s="1"/>
  <c r="Y30" i="1" l="1"/>
  <c r="X30" i="1"/>
  <c r="AA28" i="1"/>
  <c r="AB28" i="1" s="1"/>
  <c r="S65" i="1"/>
  <c r="S30" i="1"/>
  <c r="T30" i="1"/>
  <c r="T65" i="1"/>
  <c r="Q30" i="1"/>
  <c r="Q65" i="1"/>
  <c r="U30" i="1"/>
  <c r="U65" i="1"/>
  <c r="R65" i="1"/>
  <c r="R30" i="1"/>
  <c r="AA71" i="1"/>
  <c r="C58" i="1"/>
  <c r="AA53" i="1"/>
  <c r="AB53" i="1" s="1"/>
  <c r="AA42" i="1"/>
  <c r="AB42" i="1" s="1"/>
  <c r="AA22" i="1"/>
  <c r="AB22" i="1" s="1"/>
  <c r="AB40" i="1"/>
  <c r="W76" i="1"/>
  <c r="AA65" i="1" l="1"/>
  <c r="AA30" i="1"/>
  <c r="AB30" i="1" s="1"/>
  <c r="X76" i="1"/>
  <c r="Y76" i="1" l="1"/>
  <c r="Z76" i="1" l="1"/>
  <c r="R48" i="1" l="1"/>
  <c r="R70" i="1" s="1"/>
  <c r="U48" i="1"/>
  <c r="U70" i="1" s="1"/>
  <c r="U56" i="1" l="1"/>
  <c r="R56" i="1"/>
  <c r="T48" i="1"/>
  <c r="T70" i="1" s="1"/>
  <c r="V48" i="1"/>
  <c r="V70" i="1" s="1"/>
  <c r="S48" i="1"/>
  <c r="S70" i="1" s="1"/>
  <c r="Y48" i="1"/>
  <c r="Y70" i="1" s="1"/>
  <c r="W48" i="1"/>
  <c r="W70" i="1" s="1"/>
  <c r="X48" i="1"/>
  <c r="X70" i="1" s="1"/>
  <c r="Z48" i="1"/>
  <c r="Z70" i="1" s="1"/>
  <c r="Y56" i="1" l="1"/>
  <c r="Z56" i="1"/>
  <c r="S56" i="1"/>
  <c r="X56" i="1"/>
  <c r="V56" i="1"/>
  <c r="W56" i="1"/>
  <c r="T56" i="1"/>
  <c r="Q48" i="1"/>
  <c r="Q70" i="1" s="1"/>
  <c r="AA70" i="1" s="1"/>
  <c r="AA48" i="1" l="1"/>
  <c r="AB48" i="1" s="1"/>
  <c r="Q56" i="1"/>
  <c r="Q57" i="1" l="1"/>
  <c r="Q58" i="1" s="1"/>
  <c r="T57" i="1"/>
  <c r="T58" i="1" s="1"/>
  <c r="S57" i="1"/>
  <c r="S58" i="1" s="1"/>
  <c r="R57" i="1"/>
  <c r="R58" i="1" s="1"/>
  <c r="U57" i="1"/>
  <c r="U58" i="1" s="1"/>
  <c r="V57" i="1"/>
  <c r="V58" i="1" s="1"/>
  <c r="AA56" i="1"/>
  <c r="AB56" i="1" s="1"/>
  <c r="W57" i="1" l="1"/>
  <c r="W58" i="1" s="1"/>
  <c r="W73" i="1" s="1"/>
  <c r="R73" i="1"/>
  <c r="V73" i="1"/>
  <c r="S73" i="1"/>
  <c r="T73" i="1"/>
  <c r="U73" i="1"/>
  <c r="Q73" i="1"/>
  <c r="Q74" i="1" s="1"/>
  <c r="X57" i="1" l="1"/>
  <c r="X58" i="1" s="1"/>
  <c r="X73" i="1" s="1"/>
  <c r="T74" i="1"/>
  <c r="T77" i="1" s="1"/>
  <c r="R74" i="1"/>
  <c r="R77" i="1" s="1"/>
  <c r="W74" i="1"/>
  <c r="W77" i="1" s="1"/>
  <c r="S74" i="1"/>
  <c r="S77" i="1" s="1"/>
  <c r="U74" i="1"/>
  <c r="U77" i="1" s="1"/>
  <c r="V74" i="1"/>
  <c r="V77" i="1" s="1"/>
  <c r="Q77" i="1"/>
  <c r="Y57" i="1"/>
  <c r="X74" i="1" l="1"/>
  <c r="X77" i="1" s="1"/>
  <c r="Z57" i="1"/>
  <c r="Y58" i="1"/>
  <c r="Y73" i="1" l="1"/>
  <c r="Y74" i="1" s="1"/>
  <c r="AA57" i="1"/>
  <c r="AB57" i="1" s="1"/>
  <c r="Z58" i="1"/>
  <c r="Z73" i="1" s="1"/>
  <c r="Q78" i="1"/>
  <c r="R78" i="1" s="1"/>
  <c r="S78" i="1" s="1"/>
  <c r="T78" i="1" s="1"/>
  <c r="U78" i="1" s="1"/>
  <c r="V78" i="1" s="1"/>
  <c r="W78" i="1" s="1"/>
  <c r="Z74" i="1" l="1"/>
  <c r="Z77" i="1" s="1"/>
  <c r="Y77" i="1"/>
  <c r="AA73" i="1"/>
  <c r="AA58" i="1"/>
  <c r="AB58" i="1" s="1"/>
  <c r="AA74" i="1" l="1"/>
  <c r="X78" i="1"/>
  <c r="Y78" i="1" s="1"/>
  <c r="AA77" i="1" l="1"/>
  <c r="Z78" i="1" l="1"/>
</calcChain>
</file>

<file path=xl/sharedStrings.xml><?xml version="1.0" encoding="utf-8"?>
<sst xmlns="http://schemas.openxmlformats.org/spreadsheetml/2006/main" count="157" uniqueCount="114">
  <si>
    <t>Year 1</t>
  </si>
  <si>
    <t>Year 2</t>
  </si>
  <si>
    <t>Year 3</t>
  </si>
  <si>
    <t>Year 4</t>
  </si>
  <si>
    <t>Year 5</t>
  </si>
  <si>
    <t>Total</t>
  </si>
  <si>
    <t>NPV Results calculation</t>
  </si>
  <si>
    <t>Notes</t>
  </si>
  <si>
    <t>Apportionment</t>
  </si>
  <si>
    <t>Mid-year discount factor</t>
  </si>
  <si>
    <t>Cash flow (£k)</t>
  </si>
  <si>
    <t>Cash flow Present Value (£K)</t>
  </si>
  <si>
    <t>Cumulative NPV (£K)</t>
  </si>
  <si>
    <t>Year 6</t>
  </si>
  <si>
    <t>Year 7</t>
  </si>
  <si>
    <t>Year 8</t>
  </si>
  <si>
    <t>Year 9</t>
  </si>
  <si>
    <t>Year 10</t>
  </si>
  <si>
    <t>Chamber Operational costs</t>
  </si>
  <si>
    <t>Project management</t>
  </si>
  <si>
    <t>Design engineering</t>
  </si>
  <si>
    <t>Commissioning &amp; Trials team</t>
  </si>
  <si>
    <t>Cost of sales</t>
  </si>
  <si>
    <t>Management &amp; Marketing</t>
  </si>
  <si>
    <t>Total (£k)</t>
  </si>
  <si>
    <t>Annual rate (£)</t>
  </si>
  <si>
    <t>Subtotal</t>
  </si>
  <si>
    <t>Write down of assets (WDA)</t>
  </si>
  <si>
    <t>Special Tools &amp; Test Equipment (STTE)</t>
  </si>
  <si>
    <t>Potential unit sales per year</t>
  </si>
  <si>
    <t>Modelled rate</t>
  </si>
  <si>
    <t>Unit manufacturing cost (£K)</t>
  </si>
  <si>
    <t>Sales conversion rate</t>
  </si>
  <si>
    <t>Chamber Operational costs (2 years)</t>
  </si>
  <si>
    <t>Chamber ops cost per day (£K)</t>
  </si>
  <si>
    <t>WDA tax relief on STTE</t>
  </si>
  <si>
    <t>Sales window (yrs)</t>
  </si>
  <si>
    <t xml:space="preserve">Sales </t>
  </si>
  <si>
    <t>Production cost</t>
  </si>
  <si>
    <t>Production yield risk @5%</t>
  </si>
  <si>
    <t>Corporation Tax</t>
  </si>
  <si>
    <t>Unit selling price (£K)</t>
  </si>
  <si>
    <t>Sales rate risk @20%</t>
  </si>
  <si>
    <t>Check</t>
  </si>
  <si>
    <t>Risk of project slip to sales - Year 4</t>
  </si>
  <si>
    <t>Sales and operational risks</t>
  </si>
  <si>
    <t>Project Impacts calculated by year</t>
  </si>
  <si>
    <t>Project Impacts</t>
  </si>
  <si>
    <t>Other Project Assumptions</t>
  </si>
  <si>
    <t>Quantified Assumptions</t>
  </si>
  <si>
    <t>Tax on profits</t>
  </si>
  <si>
    <t>The unit's production design will not need adaptation for different customers</t>
  </si>
  <si>
    <t>Operating profit on sales</t>
  </si>
  <si>
    <t>Write down of project delivery against profit</t>
  </si>
  <si>
    <t xml:space="preserve">Project delivery costs (other than capital assets) will be written down against profits from production sales </t>
  </si>
  <si>
    <t>Sales value net of risk</t>
  </si>
  <si>
    <t>Sales rate risk (£k)</t>
  </si>
  <si>
    <t>Base cost of sales (£k)</t>
  </si>
  <si>
    <t>Base sales forecast (£k)</t>
  </si>
  <si>
    <t>Operations risk (£k)</t>
  </si>
  <si>
    <t>Base sales forecast</t>
  </si>
  <si>
    <t>Tax reliefs - WDA</t>
  </si>
  <si>
    <t>Opportunity Cost</t>
  </si>
  <si>
    <t>Hire of Chamber for 2 years</t>
  </si>
  <si>
    <t>Tax on profit</t>
  </si>
  <si>
    <t xml:space="preserve">Total </t>
  </si>
  <si>
    <t>Tax on  profit</t>
  </si>
  <si>
    <t>Chamber hire opportunity cost</t>
  </si>
  <si>
    <t>2. Sales rate risk - Provision for 20% loss of overall market due to slippage of customer projects</t>
  </si>
  <si>
    <t>3. Risk of slip to project delivery into Year 4 - provision for consequent loss of 50% of sales forecasts for Year 4</t>
  </si>
  <si>
    <t>4. Production yield risk - provision for 5% remake rate following production test</t>
  </si>
  <si>
    <t>Project-specific Risk</t>
  </si>
  <si>
    <t>1. Project delivery risk - includes risk of delay into Year 4 caused by additional design and test cycle</t>
  </si>
  <si>
    <t xml:space="preserve">Inflation </t>
  </si>
  <si>
    <t>Discount Rate (WAAC)</t>
  </si>
  <si>
    <t>Discount Rate net of inflation</t>
  </si>
  <si>
    <t>Development units (6 Off)</t>
  </si>
  <si>
    <t>Project Implementation Costs</t>
  </si>
  <si>
    <t>Project Implementation risk</t>
  </si>
  <si>
    <t>Base project Imp' cost (£k)</t>
  </si>
  <si>
    <t>Project implementation (yrs)</t>
  </si>
  <si>
    <t xml:space="preserve">Chamber hire opportunity </t>
  </si>
  <si>
    <t>Base project Imp' cost</t>
  </si>
  <si>
    <t xml:space="preserve">Base sales forecast </t>
  </si>
  <si>
    <t>Sales rate risk</t>
  </si>
  <si>
    <t>Base cost of sales</t>
  </si>
  <si>
    <t xml:space="preserve">Operations risk </t>
  </si>
  <si>
    <t xml:space="preserve">Cumulative NPV </t>
  </si>
  <si>
    <t>NPV Results calculation (£k)</t>
  </si>
  <si>
    <t xml:space="preserve">Net cash flow Present Value </t>
  </si>
  <si>
    <t>Project implementation risk</t>
  </si>
  <si>
    <t>Project imp' risk (£k)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</si>
  <si>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</si>
  <si>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</si>
  <si>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</si>
  <si>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</si>
  <si>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</si>
  <si>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</si>
  <si>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</si>
  <si>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</si>
  <si>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</si>
  <si>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Net cash flow = d+h-a-b-c-f-g-i</t>
  </si>
  <si>
    <t>Sales will be sustained at a constant rate, commencing from completion of the project implementation phase</t>
  </si>
  <si>
    <r>
      <t xml:space="preserve">1. For numerical cells, Black bold font represents the </t>
    </r>
    <r>
      <rPr>
        <b/>
        <sz val="11"/>
        <color theme="1"/>
        <rFont val="Calibri"/>
        <family val="2"/>
        <scheme val="minor"/>
      </rPr>
      <t>NPV model inputs</t>
    </r>
    <r>
      <rPr>
        <sz val="11"/>
        <color theme="1"/>
        <rFont val="Calibri"/>
        <family val="2"/>
        <scheme val="minor"/>
      </rPr>
      <t>. Non-bold font numerical cells are calculated.</t>
    </r>
  </si>
  <si>
    <r>
      <t xml:space="preserve">2. Purple bold font represents the </t>
    </r>
    <r>
      <rPr>
        <b/>
        <sz val="11"/>
        <color rgb="FF7030A0"/>
        <rFont val="Calibri"/>
        <family val="2"/>
        <scheme val="minor"/>
      </rPr>
      <t>NPV Model output</t>
    </r>
    <r>
      <rPr>
        <sz val="11"/>
        <color theme="1"/>
        <rFont val="Calibri"/>
        <family val="2"/>
        <scheme val="minor"/>
      </rPr>
      <t xml:space="preserve"> (at Cell AA75)</t>
    </r>
  </si>
  <si>
    <t>3. Check cells are designed to identify errors and will be filled light red in the event of an error being detected</t>
  </si>
  <si>
    <t xml:space="preserve">4. The model's cost apportionment inputs are contained in the hidden colums D - O </t>
  </si>
  <si>
    <t>5. This is a constant cost model with all estimates at today's rates and a discount factor net of inflation</t>
  </si>
  <si>
    <t>Write down of assets rate</t>
  </si>
  <si>
    <t>Write down of STTE value</t>
  </si>
  <si>
    <t>Model 4.1</t>
  </si>
  <si>
    <t>Space Industry Development and Production Project - Net Present Value Model (at constant cost rates, prior to peer review)</t>
  </si>
  <si>
    <t xml:space="preserve">6. Model 4.2  is a variant of this model that incorporates peer review changes and includes inflation and changes to the treatment of tax 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</si>
  <si>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Gower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</si>
</sst>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5" fillId="0" borderId="0" xfId="1" applyNumberFormat="1" applyFont="1" applyBorder="1"/>
    <xf numFmtId="164" fontId="0" fillId="0" borderId="4" xfId="0" applyNumberFormat="1" applyBorder="1"/>
    <xf numFmtId="164" fontId="2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0" xfId="1" applyNumberFormat="1" applyFont="1" applyBorder="1"/>
    <xf numFmtId="0" fontId="0" fillId="0" borderId="4" xfId="0" applyBorder="1" applyAlignment="1">
      <alignment vertical="center"/>
    </xf>
    <xf numFmtId="0" fontId="4" fillId="0" borderId="0" xfId="0" applyFont="1" applyBorder="1"/>
    <xf numFmtId="0" fontId="0" fillId="0" borderId="4" xfId="0" applyFill="1" applyBorder="1" applyAlignment="1">
      <alignment vertical="center"/>
    </xf>
    <xf numFmtId="0" fontId="6" fillId="0" borderId="0" xfId="0" applyFont="1"/>
    <xf numFmtId="0" fontId="3" fillId="0" borderId="0" xfId="0" applyFont="1" applyFill="1" applyBorder="1" applyAlignment="1">
      <alignment vertical="center"/>
    </xf>
    <xf numFmtId="164" fontId="7" fillId="0" borderId="5" xfId="0" applyNumberFormat="1" applyFont="1" applyBorder="1"/>
    <xf numFmtId="0" fontId="3" fillId="0" borderId="1" xfId="0" applyFont="1" applyBorder="1"/>
    <xf numFmtId="165" fontId="0" fillId="0" borderId="0" xfId="0" applyNumberFormat="1" applyBorder="1"/>
    <xf numFmtId="0" fontId="3" fillId="0" borderId="5" xfId="0" applyFont="1" applyBorder="1" applyAlignment="1">
      <alignment horizontal="center"/>
    </xf>
    <xf numFmtId="164" fontId="3" fillId="0" borderId="5" xfId="1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0" fillId="0" borderId="4" xfId="0" applyFill="1" applyBorder="1"/>
    <xf numFmtId="0" fontId="3" fillId="0" borderId="2" xfId="0" applyFont="1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3" fillId="0" borderId="0" xfId="0" applyFont="1"/>
    <xf numFmtId="164" fontId="1" fillId="0" borderId="5" xfId="1" applyNumberFormat="1" applyFont="1" applyBorder="1"/>
    <xf numFmtId="0" fontId="0" fillId="0" borderId="0" xfId="0" applyBorder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0" fontId="0" fillId="0" borderId="0" xfId="0" applyFont="1"/>
    <xf numFmtId="0" fontId="3" fillId="0" borderId="0" xfId="0" applyFont="1" applyAlignment="1">
      <alignment horizontal="right"/>
    </xf>
    <xf numFmtId="1" fontId="0" fillId="0" borderId="0" xfId="0" applyNumberFormat="1" applyBorder="1"/>
    <xf numFmtId="0" fontId="0" fillId="0" borderId="4" xfId="0" applyBorder="1" applyAlignment="1">
      <alignment horizontal="lef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 applyBorder="1"/>
    <xf numFmtId="164" fontId="1" fillId="0" borderId="0" xfId="1" applyNumberFormat="1" applyFont="1" applyBorder="1"/>
    <xf numFmtId="164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/>
    <xf numFmtId="2" fontId="0" fillId="0" borderId="0" xfId="0" applyNumberFormat="1" applyBorder="1" applyAlignment="1">
      <alignment horizontal="center"/>
    </xf>
    <xf numFmtId="9" fontId="0" fillId="0" borderId="0" xfId="0" applyNumberFormat="1" applyBorder="1"/>
    <xf numFmtId="164" fontId="3" fillId="0" borderId="8" xfId="1" applyNumberFormat="1" applyFon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8" fillId="0" borderId="0" xfId="0" applyFont="1"/>
    <xf numFmtId="167" fontId="3" fillId="0" borderId="0" xfId="2" applyNumberFormat="1" applyFont="1" applyBorder="1"/>
    <xf numFmtId="167" fontId="3" fillId="0" borderId="0" xfId="0" applyNumberFormat="1" applyFont="1"/>
    <xf numFmtId="10" fontId="3" fillId="0" borderId="0" xfId="2" applyNumberFormat="1" applyFont="1" applyBorder="1"/>
    <xf numFmtId="164" fontId="6" fillId="0" borderId="5" xfId="0" applyNumberFormat="1" applyFont="1" applyBorder="1"/>
    <xf numFmtId="168" fontId="0" fillId="0" borderId="0" xfId="0" applyNumberFormat="1" applyBorder="1"/>
    <xf numFmtId="0" fontId="0" fillId="0" borderId="4" xfId="0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4" xfId="0" applyFont="1" applyBorder="1"/>
  </cellXfs>
  <cellStyles count="3">
    <cellStyle name="Comma" xfId="1" builtinId="3"/>
    <cellStyle name="Normal" xfId="0" builtinId="0"/>
    <cellStyle name="Percent" xfId="2" builtinId="5"/>
  </cellStyles>
  <dxfs count="5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38100</xdr:colOff>
          <xdr:row>2</xdr:row>
          <xdr:rowOff>133350</xdr:rowOff>
        </xdr:to>
        <xdr:sp macro="" textlink="">
          <xdr:nvSpPr>
            <xdr:cNvPr id="4120" name="PAGEOPTIONS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438150</xdr:colOff>
          <xdr:row>2</xdr:row>
          <xdr:rowOff>133350</xdr:rowOff>
        </xdr:to>
        <xdr:sp macro="" textlink="">
          <xdr:nvSpPr>
            <xdr:cNvPr id="4121" name="SIMXXXCACHE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87"/>
  <sheetViews>
    <sheetView tabSelected="1" workbookViewId="0"/>
  </sheetViews>
  <sheetFormatPr defaultRowHeight="15" x14ac:dyDescent="0.25"/>
  <cols>
    <col min="1" max="1" width="27.85546875" customWidth="1"/>
    <col min="2" max="2" width="14.5703125" customWidth="1"/>
    <col min="3" max="3" width="10.140625" customWidth="1"/>
    <col min="4" max="4" width="2.7109375" hidden="1" customWidth="1"/>
    <col min="5" max="15" width="8" hidden="1" customWidth="1"/>
    <col min="16" max="16" width="2.5703125" customWidth="1"/>
    <col min="17" max="27" width="9.5703125" customWidth="1"/>
    <col min="28" max="28" width="6.7109375" customWidth="1"/>
    <col min="29" max="29" width="9.140625" customWidth="1"/>
    <col min="31" max="31" width="9.140625" customWidth="1"/>
  </cols>
  <sheetData>
    <row r="1" spans="1:30" ht="15.75" x14ac:dyDescent="0.25">
      <c r="A1" s="24" t="s">
        <v>110</v>
      </c>
      <c r="B1" t="s">
        <v>113</v>
      </c>
    </row>
    <row r="2" spans="1:30" ht="21.75" customHeight="1" x14ac:dyDescent="0.25">
      <c r="A2" s="69" t="s">
        <v>111</v>
      </c>
    </row>
    <row r="4" spans="1:30" x14ac:dyDescent="0.25">
      <c r="A4" s="43" t="s">
        <v>49</v>
      </c>
      <c r="B4" s="46" t="s">
        <v>30</v>
      </c>
      <c r="Q4" s="43" t="s">
        <v>48</v>
      </c>
    </row>
    <row r="5" spans="1:30" x14ac:dyDescent="0.25">
      <c r="A5" s="48" t="s">
        <v>80</v>
      </c>
      <c r="B5" s="49">
        <v>3</v>
      </c>
      <c r="Q5" t="s">
        <v>51</v>
      </c>
    </row>
    <row r="6" spans="1:30" x14ac:dyDescent="0.25">
      <c r="A6" s="48" t="s">
        <v>36</v>
      </c>
      <c r="B6" s="49">
        <v>7</v>
      </c>
      <c r="Q6" t="s">
        <v>102</v>
      </c>
    </row>
    <row r="7" spans="1:30" x14ac:dyDescent="0.25">
      <c r="A7" t="s">
        <v>31</v>
      </c>
      <c r="B7" s="43">
        <v>200</v>
      </c>
      <c r="Q7" t="s">
        <v>54</v>
      </c>
    </row>
    <row r="8" spans="1:30" x14ac:dyDescent="0.25">
      <c r="A8" t="s">
        <v>41</v>
      </c>
      <c r="B8" s="43">
        <v>700</v>
      </c>
    </row>
    <row r="9" spans="1:30" x14ac:dyDescent="0.25">
      <c r="A9" t="s">
        <v>29</v>
      </c>
      <c r="B9" s="43">
        <v>20</v>
      </c>
      <c r="Q9" s="43" t="s">
        <v>71</v>
      </c>
    </row>
    <row r="10" spans="1:30" x14ac:dyDescent="0.25">
      <c r="A10" t="s">
        <v>32</v>
      </c>
      <c r="B10" s="47">
        <v>0.6</v>
      </c>
      <c r="Q10" t="s">
        <v>72</v>
      </c>
    </row>
    <row r="11" spans="1:30" x14ac:dyDescent="0.25">
      <c r="A11" t="s">
        <v>34</v>
      </c>
      <c r="B11" s="43">
        <v>1.52</v>
      </c>
      <c r="Q11" t="s">
        <v>68</v>
      </c>
    </row>
    <row r="12" spans="1:30" x14ac:dyDescent="0.25">
      <c r="A12" t="s">
        <v>40</v>
      </c>
      <c r="B12" s="47">
        <v>0.2</v>
      </c>
      <c r="Q12" t="s">
        <v>69</v>
      </c>
      <c r="AD12" s="47"/>
    </row>
    <row r="13" spans="1:30" x14ac:dyDescent="0.25">
      <c r="A13" t="s">
        <v>108</v>
      </c>
      <c r="B13" s="47">
        <v>0.18</v>
      </c>
      <c r="Q13" t="s">
        <v>70</v>
      </c>
      <c r="AD13" s="47"/>
    </row>
    <row r="14" spans="1:30" x14ac:dyDescent="0.25">
      <c r="A14" t="s">
        <v>74</v>
      </c>
      <c r="B14" s="71">
        <v>0.13</v>
      </c>
      <c r="AD14" s="71"/>
    </row>
    <row r="15" spans="1:30" x14ac:dyDescent="0.25">
      <c r="A15" t="s">
        <v>73</v>
      </c>
      <c r="B15" s="47">
        <v>0.03</v>
      </c>
      <c r="AD15" s="72"/>
    </row>
    <row r="16" spans="1:30" x14ac:dyDescent="0.25">
      <c r="A16" s="4" t="s">
        <v>75</v>
      </c>
      <c r="B16" s="70">
        <f>(1+B14)/(1+B15)-1</f>
        <v>9.7087378640776656E-2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5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8" spans="1:28" x14ac:dyDescent="0.25">
      <c r="A18" s="27" t="s">
        <v>47</v>
      </c>
      <c r="B18" s="35"/>
      <c r="C18" s="3"/>
      <c r="D18" s="5"/>
      <c r="E18" s="27" t="s">
        <v>8</v>
      </c>
      <c r="F18" s="2"/>
      <c r="G18" s="2"/>
      <c r="H18" s="2"/>
      <c r="I18" s="2"/>
      <c r="J18" s="2"/>
      <c r="K18" s="2"/>
      <c r="L18" s="2"/>
      <c r="M18" s="2"/>
      <c r="N18" s="3"/>
      <c r="O18" s="5"/>
      <c r="P18" s="5"/>
      <c r="Q18" s="27" t="s">
        <v>46</v>
      </c>
      <c r="R18" s="2"/>
      <c r="S18" s="2"/>
      <c r="T18" s="2"/>
      <c r="U18" s="2"/>
      <c r="V18" s="2"/>
      <c r="W18" s="2"/>
      <c r="X18" s="2"/>
      <c r="Y18" s="2"/>
      <c r="Z18" s="2"/>
      <c r="AA18" s="3"/>
      <c r="AB18" s="5"/>
    </row>
    <row r="19" spans="1:28" x14ac:dyDescent="0.25">
      <c r="A19" s="4"/>
      <c r="B19" s="5"/>
      <c r="C19" s="6"/>
      <c r="D19" s="14"/>
      <c r="E19" s="10" t="s">
        <v>0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13</v>
      </c>
      <c r="K19" s="1" t="s">
        <v>14</v>
      </c>
      <c r="L19" s="1" t="s">
        <v>15</v>
      </c>
      <c r="M19" s="1" t="s">
        <v>16</v>
      </c>
      <c r="N19" s="11" t="s">
        <v>17</v>
      </c>
      <c r="O19" s="1" t="s">
        <v>43</v>
      </c>
      <c r="P19" s="5"/>
      <c r="Q19" s="10" t="s">
        <v>0</v>
      </c>
      <c r="R19" s="1" t="s">
        <v>1</v>
      </c>
      <c r="S19" s="1" t="s">
        <v>2</v>
      </c>
      <c r="T19" s="1" t="s">
        <v>3</v>
      </c>
      <c r="U19" s="1" t="s">
        <v>4</v>
      </c>
      <c r="V19" s="1" t="s">
        <v>13</v>
      </c>
      <c r="W19" s="1" t="s">
        <v>14</v>
      </c>
      <c r="X19" s="1" t="s">
        <v>15</v>
      </c>
      <c r="Y19" s="1" t="s">
        <v>16</v>
      </c>
      <c r="Z19" s="1" t="s">
        <v>17</v>
      </c>
      <c r="AA19" s="11" t="s">
        <v>5</v>
      </c>
      <c r="AB19" s="1" t="s">
        <v>43</v>
      </c>
    </row>
    <row r="20" spans="1:28" ht="6.75" customHeight="1" x14ac:dyDescent="0.25">
      <c r="A20" s="4"/>
      <c r="B20" s="5"/>
      <c r="C20" s="6"/>
      <c r="D20" s="5"/>
      <c r="E20" s="4"/>
      <c r="F20" s="5"/>
      <c r="G20" s="5"/>
      <c r="H20" s="5"/>
      <c r="I20" s="5"/>
      <c r="J20" s="5"/>
      <c r="K20" s="5"/>
      <c r="L20" s="5"/>
      <c r="M20" s="5"/>
      <c r="N20" s="6"/>
      <c r="O20" s="5"/>
      <c r="P20" s="5"/>
      <c r="Q20" s="4"/>
      <c r="R20" s="5"/>
      <c r="S20" s="5"/>
      <c r="T20" s="5"/>
      <c r="U20" s="5"/>
      <c r="V20" s="5"/>
      <c r="W20" s="5"/>
      <c r="X20" s="5"/>
      <c r="Y20" s="5"/>
      <c r="Z20" s="5"/>
      <c r="AA20" s="6"/>
      <c r="AB20" s="5"/>
    </row>
    <row r="21" spans="1:28" ht="16.5" customHeight="1" x14ac:dyDescent="0.25">
      <c r="A21" s="33" t="s">
        <v>77</v>
      </c>
      <c r="B21" s="36"/>
      <c r="C21" s="29" t="s">
        <v>24</v>
      </c>
      <c r="D21" s="5"/>
      <c r="E21" s="4"/>
      <c r="F21" s="5"/>
      <c r="G21" s="5"/>
      <c r="H21" s="5"/>
      <c r="I21" s="5"/>
      <c r="J21" s="5"/>
      <c r="K21" s="5"/>
      <c r="L21" s="5"/>
      <c r="M21" s="5"/>
      <c r="N21" s="6"/>
      <c r="O21" s="5"/>
      <c r="P21" s="5"/>
      <c r="Q21" s="4"/>
      <c r="R21" s="5"/>
      <c r="S21" s="5"/>
      <c r="T21" s="5"/>
      <c r="U21" s="5"/>
      <c r="V21" s="5"/>
      <c r="W21" s="5"/>
      <c r="X21" s="5"/>
      <c r="Y21" s="5"/>
      <c r="Z21" s="5"/>
      <c r="AA21" s="6"/>
      <c r="AB21" s="5"/>
    </row>
    <row r="22" spans="1:28" x14ac:dyDescent="0.25">
      <c r="A22" s="4" t="s">
        <v>19</v>
      </c>
      <c r="B22" s="5"/>
      <c r="C22" s="30">
        <v>1200</v>
      </c>
      <c r="D22" s="15"/>
      <c r="E22" s="31">
        <f>1/3</f>
        <v>0.33333333333333331</v>
      </c>
      <c r="F22" s="32">
        <f>1/3</f>
        <v>0.33333333333333331</v>
      </c>
      <c r="G22" s="32">
        <v>0.33333333333333331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65">
        <v>0</v>
      </c>
      <c r="O22" s="59">
        <f>SUM(E22:N22)</f>
        <v>1</v>
      </c>
      <c r="P22" s="5"/>
      <c r="Q22" s="16">
        <f t="shared" ref="Q22:Z29" si="0">$C22*E22</f>
        <v>400</v>
      </c>
      <c r="R22" s="12">
        <f t="shared" si="0"/>
        <v>400</v>
      </c>
      <c r="S22" s="12">
        <f t="shared" si="0"/>
        <v>400</v>
      </c>
      <c r="T22" s="12">
        <f t="shared" si="0"/>
        <v>0</v>
      </c>
      <c r="U22" s="12">
        <f t="shared" si="0"/>
        <v>0</v>
      </c>
      <c r="V22" s="12">
        <f t="shared" si="0"/>
        <v>0</v>
      </c>
      <c r="W22" s="12">
        <f t="shared" si="0"/>
        <v>0</v>
      </c>
      <c r="X22" s="12">
        <f t="shared" si="0"/>
        <v>0</v>
      </c>
      <c r="Y22" s="12">
        <f t="shared" si="0"/>
        <v>0</v>
      </c>
      <c r="Z22" s="12">
        <f t="shared" si="0"/>
        <v>0</v>
      </c>
      <c r="AA22" s="13">
        <f>SUM(Q22:Z22)</f>
        <v>1200</v>
      </c>
      <c r="AB22" s="54">
        <f t="shared" ref="AB22:AB30" si="1">AA22-C22</f>
        <v>0</v>
      </c>
    </row>
    <row r="23" spans="1:28" x14ac:dyDescent="0.25">
      <c r="A23" s="4" t="s">
        <v>20</v>
      </c>
      <c r="B23" s="5"/>
      <c r="C23" s="30">
        <v>2800</v>
      </c>
      <c r="D23" s="15"/>
      <c r="E23" s="31">
        <v>0.5</v>
      </c>
      <c r="F23" s="32">
        <v>0.3</v>
      </c>
      <c r="G23" s="32">
        <v>0.2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65">
        <v>0</v>
      </c>
      <c r="O23" s="59">
        <f t="shared" ref="O23:O29" si="2">SUM(E23:N23)</f>
        <v>1</v>
      </c>
      <c r="P23" s="5"/>
      <c r="Q23" s="16">
        <f t="shared" si="0"/>
        <v>1400</v>
      </c>
      <c r="R23" s="12">
        <f t="shared" si="0"/>
        <v>840</v>
      </c>
      <c r="S23" s="12">
        <f t="shared" si="0"/>
        <v>560</v>
      </c>
      <c r="T23" s="12">
        <f t="shared" si="0"/>
        <v>0</v>
      </c>
      <c r="U23" s="12">
        <f t="shared" si="0"/>
        <v>0</v>
      </c>
      <c r="V23" s="12">
        <f t="shared" si="0"/>
        <v>0</v>
      </c>
      <c r="W23" s="12">
        <f t="shared" si="0"/>
        <v>0</v>
      </c>
      <c r="X23" s="12">
        <f t="shared" si="0"/>
        <v>0</v>
      </c>
      <c r="Y23" s="12">
        <f t="shared" si="0"/>
        <v>0</v>
      </c>
      <c r="Z23" s="12">
        <f t="shared" si="0"/>
        <v>0</v>
      </c>
      <c r="AA23" s="13">
        <f t="shared" ref="AA23:AA29" si="3">SUM(Q23:Z23)</f>
        <v>2800</v>
      </c>
      <c r="AB23" s="54">
        <f t="shared" si="1"/>
        <v>0</v>
      </c>
    </row>
    <row r="24" spans="1:28" x14ac:dyDescent="0.25">
      <c r="A24" s="4" t="s">
        <v>76</v>
      </c>
      <c r="B24" s="5"/>
      <c r="C24" s="44">
        <f>B7*6</f>
        <v>1200</v>
      </c>
      <c r="D24" s="15"/>
      <c r="E24" s="31">
        <v>0.5</v>
      </c>
      <c r="F24" s="32">
        <v>0.5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65">
        <v>0</v>
      </c>
      <c r="O24" s="59">
        <f t="shared" si="2"/>
        <v>1</v>
      </c>
      <c r="P24" s="5"/>
      <c r="Q24" s="16">
        <f t="shared" si="0"/>
        <v>600</v>
      </c>
      <c r="R24" s="12">
        <f t="shared" si="0"/>
        <v>600</v>
      </c>
      <c r="S24" s="12">
        <f t="shared" si="0"/>
        <v>0</v>
      </c>
      <c r="T24" s="12">
        <f t="shared" si="0"/>
        <v>0</v>
      </c>
      <c r="U24" s="12">
        <f t="shared" si="0"/>
        <v>0</v>
      </c>
      <c r="V24" s="12">
        <f t="shared" si="0"/>
        <v>0</v>
      </c>
      <c r="W24" s="12">
        <f t="shared" si="0"/>
        <v>0</v>
      </c>
      <c r="X24" s="12">
        <f t="shared" si="0"/>
        <v>0</v>
      </c>
      <c r="Y24" s="12">
        <f t="shared" si="0"/>
        <v>0</v>
      </c>
      <c r="Z24" s="12">
        <f t="shared" si="0"/>
        <v>0</v>
      </c>
      <c r="AA24" s="13">
        <f t="shared" si="3"/>
        <v>1200</v>
      </c>
      <c r="AB24" s="54">
        <f t="shared" si="1"/>
        <v>0</v>
      </c>
    </row>
    <row r="25" spans="1:28" x14ac:dyDescent="0.25">
      <c r="A25" s="4" t="s">
        <v>28</v>
      </c>
      <c r="B25" s="5"/>
      <c r="C25" s="30">
        <v>1000</v>
      </c>
      <c r="D25" s="15"/>
      <c r="E25" s="31">
        <v>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65">
        <v>0</v>
      </c>
      <c r="O25" s="59">
        <f t="shared" si="2"/>
        <v>1</v>
      </c>
      <c r="P25" s="5"/>
      <c r="Q25" s="16">
        <f t="shared" si="0"/>
        <v>1000</v>
      </c>
      <c r="R25" s="12">
        <f t="shared" si="0"/>
        <v>0</v>
      </c>
      <c r="S25" s="12">
        <f t="shared" si="0"/>
        <v>0</v>
      </c>
      <c r="T25" s="12">
        <f t="shared" si="0"/>
        <v>0</v>
      </c>
      <c r="U25" s="12">
        <f t="shared" si="0"/>
        <v>0</v>
      </c>
      <c r="V25" s="12">
        <f t="shared" si="0"/>
        <v>0</v>
      </c>
      <c r="W25" s="12">
        <f t="shared" si="0"/>
        <v>0</v>
      </c>
      <c r="X25" s="12">
        <f t="shared" si="0"/>
        <v>0</v>
      </c>
      <c r="Y25" s="12">
        <f t="shared" si="0"/>
        <v>0</v>
      </c>
      <c r="Z25" s="12">
        <f t="shared" si="0"/>
        <v>0</v>
      </c>
      <c r="AA25" s="13">
        <f t="shared" si="3"/>
        <v>1000</v>
      </c>
      <c r="AB25" s="54">
        <f t="shared" si="1"/>
        <v>0</v>
      </c>
    </row>
    <row r="26" spans="1:28" x14ac:dyDescent="0.25">
      <c r="A26" s="4" t="s">
        <v>21</v>
      </c>
      <c r="B26" s="5"/>
      <c r="C26" s="30">
        <v>3400</v>
      </c>
      <c r="D26" s="15"/>
      <c r="E26" s="31">
        <v>0.2</v>
      </c>
      <c r="F26" s="32">
        <v>0.5</v>
      </c>
      <c r="G26" s="32">
        <v>0.3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65">
        <v>0</v>
      </c>
      <c r="O26" s="59">
        <f t="shared" si="2"/>
        <v>1</v>
      </c>
      <c r="P26" s="5"/>
      <c r="Q26" s="16">
        <f t="shared" si="0"/>
        <v>680</v>
      </c>
      <c r="R26" s="12">
        <f t="shared" si="0"/>
        <v>1700</v>
      </c>
      <c r="S26" s="12">
        <f t="shared" si="0"/>
        <v>1020</v>
      </c>
      <c r="T26" s="12">
        <f t="shared" si="0"/>
        <v>0</v>
      </c>
      <c r="U26" s="12">
        <f t="shared" si="0"/>
        <v>0</v>
      </c>
      <c r="V26" s="12">
        <f t="shared" si="0"/>
        <v>0</v>
      </c>
      <c r="W26" s="12">
        <f t="shared" si="0"/>
        <v>0</v>
      </c>
      <c r="X26" s="12">
        <f t="shared" si="0"/>
        <v>0</v>
      </c>
      <c r="Y26" s="12">
        <f t="shared" si="0"/>
        <v>0</v>
      </c>
      <c r="Z26" s="12">
        <f t="shared" si="0"/>
        <v>0</v>
      </c>
      <c r="AA26" s="13">
        <f t="shared" si="3"/>
        <v>3400</v>
      </c>
      <c r="AB26" s="54">
        <f t="shared" si="1"/>
        <v>0</v>
      </c>
    </row>
    <row r="27" spans="1:28" x14ac:dyDescent="0.25">
      <c r="A27" s="4" t="s">
        <v>33</v>
      </c>
      <c r="B27" s="5"/>
      <c r="C27" s="44">
        <f>365.25*2*B11</f>
        <v>1110.3599999999999</v>
      </c>
      <c r="D27" s="15"/>
      <c r="E27" s="31">
        <v>0.2</v>
      </c>
      <c r="F27" s="32">
        <v>0.5</v>
      </c>
      <c r="G27" s="32">
        <v>0.3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65">
        <v>0</v>
      </c>
      <c r="O27" s="59">
        <f t="shared" si="2"/>
        <v>1</v>
      </c>
      <c r="P27" s="5"/>
      <c r="Q27" s="16">
        <f t="shared" si="0"/>
        <v>222.072</v>
      </c>
      <c r="R27" s="12">
        <f t="shared" si="0"/>
        <v>555.17999999999995</v>
      </c>
      <c r="S27" s="12">
        <f t="shared" si="0"/>
        <v>333.10799999999995</v>
      </c>
      <c r="T27" s="12">
        <f t="shared" si="0"/>
        <v>0</v>
      </c>
      <c r="U27" s="12">
        <f t="shared" si="0"/>
        <v>0</v>
      </c>
      <c r="V27" s="12">
        <f t="shared" si="0"/>
        <v>0</v>
      </c>
      <c r="W27" s="12">
        <f t="shared" si="0"/>
        <v>0</v>
      </c>
      <c r="X27" s="12">
        <f t="shared" si="0"/>
        <v>0</v>
      </c>
      <c r="Y27" s="12">
        <f t="shared" si="0"/>
        <v>0</v>
      </c>
      <c r="Z27" s="12">
        <f t="shared" si="0"/>
        <v>0</v>
      </c>
      <c r="AA27" s="13">
        <f>SUM(Q27:Z27)</f>
        <v>1110.3599999999999</v>
      </c>
      <c r="AB27" s="54">
        <f>AA27-C27</f>
        <v>0</v>
      </c>
    </row>
    <row r="28" spans="1:28" x14ac:dyDescent="0.25">
      <c r="A28" s="41" t="s">
        <v>26</v>
      </c>
      <c r="B28" s="5"/>
      <c r="C28" s="44">
        <f>SUM(C22:C27)</f>
        <v>10710.36</v>
      </c>
      <c r="D28" s="15"/>
      <c r="E28" s="31"/>
      <c r="F28" s="32"/>
      <c r="G28" s="32"/>
      <c r="H28" s="32"/>
      <c r="I28" s="32"/>
      <c r="J28" s="32"/>
      <c r="K28" s="32"/>
      <c r="L28" s="32"/>
      <c r="M28" s="32"/>
      <c r="N28" s="65"/>
      <c r="O28" s="59"/>
      <c r="P28" s="5"/>
      <c r="Q28" s="16">
        <f>SUM(Q22:Q27)</f>
        <v>4302.0720000000001</v>
      </c>
      <c r="R28" s="12">
        <f t="shared" ref="R28:Z28" si="4">SUM(R22:R27)</f>
        <v>4095.18</v>
      </c>
      <c r="S28" s="12">
        <f t="shared" si="4"/>
        <v>2313.1080000000002</v>
      </c>
      <c r="T28" s="12">
        <f t="shared" si="4"/>
        <v>0</v>
      </c>
      <c r="U28" s="12">
        <f t="shared" si="4"/>
        <v>0</v>
      </c>
      <c r="V28" s="12">
        <f t="shared" si="4"/>
        <v>0</v>
      </c>
      <c r="W28" s="12">
        <f t="shared" si="4"/>
        <v>0</v>
      </c>
      <c r="X28" s="12">
        <f t="shared" si="4"/>
        <v>0</v>
      </c>
      <c r="Y28" s="12">
        <f t="shared" si="4"/>
        <v>0</v>
      </c>
      <c r="Z28" s="12">
        <f t="shared" si="4"/>
        <v>0</v>
      </c>
      <c r="AA28" s="13">
        <f>SUM(Q28:Z28)</f>
        <v>10710.36</v>
      </c>
      <c r="AB28" s="54">
        <f>AA28-C28</f>
        <v>0</v>
      </c>
    </row>
    <row r="29" spans="1:28" x14ac:dyDescent="0.25">
      <c r="A29" s="4" t="s">
        <v>78</v>
      </c>
      <c r="B29" s="5"/>
      <c r="C29" s="30">
        <v>4000</v>
      </c>
      <c r="D29" s="15"/>
      <c r="E29" s="31">
        <f>0.25/3</f>
        <v>8.3333333333333329E-2</v>
      </c>
      <c r="F29" s="32">
        <f>0.25/3</f>
        <v>8.3333333333333329E-2</v>
      </c>
      <c r="G29" s="32">
        <f>0.25/3</f>
        <v>8.3333333333333329E-2</v>
      </c>
      <c r="H29" s="32">
        <v>0.75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65">
        <v>0</v>
      </c>
      <c r="O29" s="59">
        <f t="shared" si="2"/>
        <v>1</v>
      </c>
      <c r="P29" s="5"/>
      <c r="Q29" s="16">
        <f t="shared" si="0"/>
        <v>333.33333333333331</v>
      </c>
      <c r="R29" s="12">
        <f t="shared" si="0"/>
        <v>333.33333333333331</v>
      </c>
      <c r="S29" s="12">
        <f t="shared" si="0"/>
        <v>333.33333333333331</v>
      </c>
      <c r="T29" s="12">
        <f t="shared" si="0"/>
        <v>3000</v>
      </c>
      <c r="U29" s="12">
        <f t="shared" si="0"/>
        <v>0</v>
      </c>
      <c r="V29" s="12">
        <f t="shared" si="0"/>
        <v>0</v>
      </c>
      <c r="W29" s="12">
        <f t="shared" si="0"/>
        <v>0</v>
      </c>
      <c r="X29" s="12">
        <f t="shared" si="0"/>
        <v>0</v>
      </c>
      <c r="Y29" s="12">
        <f t="shared" si="0"/>
        <v>0</v>
      </c>
      <c r="Z29" s="12">
        <f t="shared" si="0"/>
        <v>0</v>
      </c>
      <c r="AA29" s="13">
        <f t="shared" si="3"/>
        <v>4000</v>
      </c>
      <c r="AB29" s="54">
        <f t="shared" si="1"/>
        <v>0</v>
      </c>
    </row>
    <row r="30" spans="1:28" x14ac:dyDescent="0.25">
      <c r="A30" s="42" t="s">
        <v>65</v>
      </c>
      <c r="B30" s="40"/>
      <c r="C30" s="44">
        <f>C28+C29</f>
        <v>14710.36</v>
      </c>
      <c r="D30" s="15"/>
      <c r="E30" s="31"/>
      <c r="F30" s="32"/>
      <c r="G30" s="32"/>
      <c r="H30" s="32"/>
      <c r="I30" s="32"/>
      <c r="J30" s="32"/>
      <c r="K30" s="32"/>
      <c r="L30" s="32"/>
      <c r="M30" s="32"/>
      <c r="N30" s="65"/>
      <c r="O30" s="59"/>
      <c r="P30" s="5"/>
      <c r="Q30" s="16">
        <f>Q28+Q29</f>
        <v>4635.4053333333331</v>
      </c>
      <c r="R30" s="12">
        <f t="shared" ref="R30:Z30" si="5">R28+R29</f>
        <v>4428.5133333333333</v>
      </c>
      <c r="S30" s="12">
        <f t="shared" si="5"/>
        <v>2646.4413333333337</v>
      </c>
      <c r="T30" s="12">
        <f t="shared" si="5"/>
        <v>3000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3">
        <f t="shared" ref="AA30" si="6">SUM(Q30:Z30)</f>
        <v>14710.36</v>
      </c>
      <c r="AB30" s="54">
        <f t="shared" si="1"/>
        <v>0</v>
      </c>
    </row>
    <row r="31" spans="1:28" x14ac:dyDescent="0.25">
      <c r="A31" s="4"/>
      <c r="B31" s="5"/>
      <c r="C31" s="30"/>
      <c r="D31" s="15"/>
      <c r="E31" s="31"/>
      <c r="F31" s="32"/>
      <c r="G31" s="32"/>
      <c r="H31" s="32"/>
      <c r="I31" s="32"/>
      <c r="J31" s="32"/>
      <c r="K31" s="32"/>
      <c r="L31" s="32"/>
      <c r="M31" s="32"/>
      <c r="N31" s="65"/>
      <c r="O31" s="59"/>
      <c r="P31" s="5"/>
      <c r="Q31" s="16"/>
      <c r="R31" s="12"/>
      <c r="S31" s="12"/>
      <c r="T31" s="12"/>
      <c r="U31" s="12"/>
      <c r="V31" s="12"/>
      <c r="W31" s="12"/>
      <c r="X31" s="12"/>
      <c r="Y31" s="12"/>
      <c r="Z31" s="12"/>
      <c r="AA31" s="13"/>
      <c r="AB31" s="54"/>
    </row>
    <row r="32" spans="1:28" x14ac:dyDescent="0.25">
      <c r="A32" s="33" t="s">
        <v>27</v>
      </c>
      <c r="B32" s="57"/>
      <c r="C32" s="29"/>
      <c r="D32" s="15"/>
      <c r="E32" s="31"/>
      <c r="F32" s="32"/>
      <c r="G32" s="32"/>
      <c r="H32" s="32"/>
      <c r="I32" s="32"/>
      <c r="J32" s="32"/>
      <c r="K32" s="32"/>
      <c r="L32" s="32"/>
      <c r="M32" s="32"/>
      <c r="N32" s="65"/>
      <c r="O32" s="59"/>
      <c r="P32" s="5"/>
      <c r="Q32" s="16"/>
      <c r="R32" s="12"/>
      <c r="S32" s="12"/>
      <c r="T32" s="12"/>
      <c r="U32" s="12"/>
      <c r="V32" s="12"/>
      <c r="W32" s="12"/>
      <c r="X32" s="12"/>
      <c r="Y32" s="12"/>
      <c r="Z32" s="12"/>
      <c r="AA32" s="13"/>
      <c r="AB32" s="54"/>
    </row>
    <row r="33" spans="1:28" x14ac:dyDescent="0.25">
      <c r="A33" s="78" t="s">
        <v>109</v>
      </c>
      <c r="B33" s="57"/>
      <c r="C33" s="29"/>
      <c r="D33" s="15"/>
      <c r="E33" s="31"/>
      <c r="F33" s="32"/>
      <c r="G33" s="32"/>
      <c r="H33" s="32"/>
      <c r="I33" s="32"/>
      <c r="J33" s="32"/>
      <c r="K33" s="32"/>
      <c r="L33" s="32"/>
      <c r="M33" s="32"/>
      <c r="N33" s="65"/>
      <c r="O33" s="59"/>
      <c r="P33" s="5"/>
      <c r="Q33" s="16"/>
      <c r="R33" s="12">
        <f>C25*B13</f>
        <v>180</v>
      </c>
      <c r="S33" s="12">
        <f>(C25-R33)*B13</f>
        <v>147.6</v>
      </c>
      <c r="T33" s="12">
        <f>($C25-SUM($R33:S33))*$B13</f>
        <v>121.032</v>
      </c>
      <c r="U33" s="12">
        <f>($C25-SUM($R33:T33))*$B13</f>
        <v>99.246239999999986</v>
      </c>
      <c r="V33" s="12">
        <f>($C25-SUM($R33:U33))*$B13</f>
        <v>81.381916799999999</v>
      </c>
      <c r="W33" s="12">
        <f>($C25-SUM($R33:V33))*$B13</f>
        <v>66.733171775999992</v>
      </c>
      <c r="X33" s="12">
        <f>($C25-SUM($R33:W33))*$B13</f>
        <v>54.721200856320003</v>
      </c>
      <c r="Y33" s="12">
        <f>($C25-SUM($R33:X33))*$B13</f>
        <v>44.871384702182404</v>
      </c>
      <c r="Z33" s="12">
        <f>($C25-SUM($R33:Y33))*$B13</f>
        <v>36.794535455789578</v>
      </c>
      <c r="AA33" s="13"/>
      <c r="AB33" s="54"/>
    </row>
    <row r="34" spans="1:28" x14ac:dyDescent="0.25">
      <c r="A34" s="4" t="s">
        <v>35</v>
      </c>
      <c r="B34" s="60"/>
      <c r="C34" s="44"/>
      <c r="D34" s="15"/>
      <c r="E34" s="31"/>
      <c r="F34" s="32"/>
      <c r="G34" s="32"/>
      <c r="H34" s="32"/>
      <c r="I34" s="32"/>
      <c r="J34" s="32"/>
      <c r="K34" s="32"/>
      <c r="L34" s="32"/>
      <c r="M34" s="32"/>
      <c r="N34" s="65"/>
      <c r="O34" s="59"/>
      <c r="P34" s="5"/>
      <c r="Q34" s="16">
        <v>0</v>
      </c>
      <c r="R34" s="12">
        <f>R33*$B12</f>
        <v>36</v>
      </c>
      <c r="S34" s="12">
        <f t="shared" ref="S34:Z34" si="7">S33*$B12</f>
        <v>29.52</v>
      </c>
      <c r="T34" s="12">
        <f t="shared" si="7"/>
        <v>24.206400000000002</v>
      </c>
      <c r="U34" s="12">
        <f t="shared" si="7"/>
        <v>19.849247999999999</v>
      </c>
      <c r="V34" s="12">
        <f t="shared" si="7"/>
        <v>16.276383360000001</v>
      </c>
      <c r="W34" s="12">
        <f t="shared" si="7"/>
        <v>13.346634355199999</v>
      </c>
      <c r="X34" s="12">
        <f t="shared" si="7"/>
        <v>10.944240171264001</v>
      </c>
      <c r="Y34" s="12">
        <f t="shared" si="7"/>
        <v>8.9742769404364804</v>
      </c>
      <c r="Z34" s="12">
        <f t="shared" si="7"/>
        <v>7.3589070911579162</v>
      </c>
      <c r="AA34" s="13">
        <f>SUM(Q34:Z34)</f>
        <v>166.47608991805839</v>
      </c>
      <c r="AB34" s="54"/>
    </row>
    <row r="35" spans="1:28" x14ac:dyDescent="0.25">
      <c r="A35" s="4"/>
      <c r="B35" s="60"/>
      <c r="C35" s="44"/>
      <c r="D35" s="15"/>
      <c r="E35" s="31"/>
      <c r="F35" s="32"/>
      <c r="G35" s="32"/>
      <c r="H35" s="32"/>
      <c r="I35" s="32"/>
      <c r="J35" s="32"/>
      <c r="K35" s="32"/>
      <c r="L35" s="32"/>
      <c r="M35" s="32"/>
      <c r="N35" s="65"/>
      <c r="O35" s="59"/>
      <c r="P35" s="5"/>
      <c r="Q35" s="16"/>
      <c r="R35" s="12"/>
      <c r="S35" s="12"/>
      <c r="T35" s="12"/>
      <c r="U35" s="12"/>
      <c r="V35" s="12"/>
      <c r="W35" s="12"/>
      <c r="X35" s="12"/>
      <c r="Y35" s="12"/>
      <c r="Z35" s="12"/>
      <c r="AA35" s="13"/>
      <c r="AB35" s="54"/>
    </row>
    <row r="36" spans="1:28" x14ac:dyDescent="0.25">
      <c r="A36" s="33" t="s">
        <v>62</v>
      </c>
      <c r="B36" s="60"/>
      <c r="C36" s="29"/>
      <c r="D36" s="15"/>
      <c r="E36" s="31"/>
      <c r="F36" s="32"/>
      <c r="G36" s="32"/>
      <c r="H36" s="32"/>
      <c r="I36" s="32"/>
      <c r="J36" s="32"/>
      <c r="K36" s="32"/>
      <c r="L36" s="32"/>
      <c r="M36" s="32"/>
      <c r="N36" s="65"/>
      <c r="O36" s="59"/>
      <c r="P36" s="5"/>
      <c r="Q36" s="4"/>
      <c r="R36" s="5"/>
      <c r="S36" s="5"/>
      <c r="T36" s="5"/>
      <c r="U36" s="5"/>
      <c r="V36" s="5"/>
      <c r="W36" s="5"/>
      <c r="X36" s="5"/>
      <c r="Y36" s="5"/>
      <c r="Z36" s="5"/>
      <c r="AA36" s="6"/>
      <c r="AB36" s="54"/>
    </row>
    <row r="37" spans="1:28" x14ac:dyDescent="0.25">
      <c r="A37" s="4" t="s">
        <v>63</v>
      </c>
      <c r="B37" s="58"/>
      <c r="C37" s="56">
        <v>800</v>
      </c>
      <c r="D37" s="15"/>
      <c r="E37" s="31">
        <v>0.2</v>
      </c>
      <c r="F37" s="32">
        <v>0.5</v>
      </c>
      <c r="G37" s="32">
        <v>0.3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65">
        <v>0</v>
      </c>
      <c r="O37" s="59">
        <f t="shared" ref="O37" si="8">SUM(E37:N37)</f>
        <v>1</v>
      </c>
      <c r="P37" s="5"/>
      <c r="Q37" s="16">
        <f t="shared" ref="Q37" si="9">$C37*E37</f>
        <v>160</v>
      </c>
      <c r="R37" s="12">
        <f t="shared" ref="R37" si="10">$C37*F37</f>
        <v>400</v>
      </c>
      <c r="S37" s="12">
        <f t="shared" ref="S37" si="11">$C37*G37</f>
        <v>240</v>
      </c>
      <c r="T37" s="12">
        <f t="shared" ref="T37" si="12">$C37*H37</f>
        <v>0</v>
      </c>
      <c r="U37" s="12">
        <f t="shared" ref="U37" si="13">$C37*I37</f>
        <v>0</v>
      </c>
      <c r="V37" s="12">
        <f t="shared" ref="V37" si="14">$C37*J37</f>
        <v>0</v>
      </c>
      <c r="W37" s="12">
        <f t="shared" ref="W37" si="15">$C37*K37</f>
        <v>0</v>
      </c>
      <c r="X37" s="12">
        <f t="shared" ref="X37" si="16">$C37*L37</f>
        <v>0</v>
      </c>
      <c r="Y37" s="12">
        <f t="shared" ref="Y37" si="17">$C37*M37</f>
        <v>0</v>
      </c>
      <c r="Z37" s="12">
        <f t="shared" ref="Z37" si="18">$C37*N37</f>
        <v>0</v>
      </c>
      <c r="AA37" s="13">
        <f t="shared" ref="AA37" si="19">SUM(Q37:Z37)</f>
        <v>800</v>
      </c>
      <c r="AB37" s="54">
        <f>AA37-C37</f>
        <v>0</v>
      </c>
    </row>
    <row r="38" spans="1:28" x14ac:dyDescent="0.25">
      <c r="A38" s="4"/>
      <c r="B38" s="5"/>
      <c r="C38" s="6"/>
      <c r="D38" s="15"/>
      <c r="E38" s="31"/>
      <c r="F38" s="32"/>
      <c r="G38" s="32"/>
      <c r="H38" s="32"/>
      <c r="I38" s="32"/>
      <c r="J38" s="32"/>
      <c r="K38" s="32"/>
      <c r="L38" s="32"/>
      <c r="M38" s="32"/>
      <c r="N38" s="65"/>
      <c r="O38" s="59"/>
      <c r="P38" s="5"/>
      <c r="Q38" s="16"/>
      <c r="R38" s="12"/>
      <c r="S38" s="12"/>
      <c r="T38" s="12"/>
      <c r="U38" s="12"/>
      <c r="V38" s="12"/>
      <c r="W38" s="12"/>
      <c r="X38" s="12"/>
      <c r="Y38" s="12"/>
      <c r="Z38" s="12"/>
      <c r="AA38" s="13"/>
      <c r="AB38" s="54"/>
    </row>
    <row r="39" spans="1:28" x14ac:dyDescent="0.25">
      <c r="A39" s="33" t="s">
        <v>37</v>
      </c>
      <c r="B39" s="58" t="s">
        <v>25</v>
      </c>
      <c r="C39" s="29" t="s">
        <v>24</v>
      </c>
      <c r="D39" s="15"/>
      <c r="E39" s="31"/>
      <c r="F39" s="32"/>
      <c r="G39" s="32"/>
      <c r="H39" s="32"/>
      <c r="I39" s="32"/>
      <c r="J39" s="32"/>
      <c r="K39" s="32"/>
      <c r="L39" s="32"/>
      <c r="M39" s="32"/>
      <c r="N39" s="65"/>
      <c r="O39" s="59"/>
      <c r="P39" s="5"/>
      <c r="Q39" s="16"/>
      <c r="R39" s="12"/>
      <c r="S39" s="12"/>
      <c r="T39" s="12"/>
      <c r="U39" s="12"/>
      <c r="V39" s="12"/>
      <c r="W39" s="12"/>
      <c r="X39" s="12"/>
      <c r="Y39" s="12"/>
      <c r="Z39" s="12"/>
      <c r="AA39" s="13"/>
      <c r="AB39" s="54"/>
    </row>
    <row r="40" spans="1:28" x14ac:dyDescent="0.25">
      <c r="A40" s="4" t="s">
        <v>60</v>
      </c>
      <c r="B40" s="55">
        <f>B8*B9*B10</f>
        <v>8400</v>
      </c>
      <c r="C40" s="44">
        <f>B40*B$6</f>
        <v>58800</v>
      </c>
      <c r="D40" s="15"/>
      <c r="E40" s="31">
        <v>0</v>
      </c>
      <c r="F40" s="32">
        <v>0</v>
      </c>
      <c r="G40" s="32">
        <v>0</v>
      </c>
      <c r="H40" s="32">
        <v>1</v>
      </c>
      <c r="I40" s="32">
        <v>1</v>
      </c>
      <c r="J40" s="32">
        <v>1</v>
      </c>
      <c r="K40" s="32">
        <v>1</v>
      </c>
      <c r="L40" s="32">
        <v>1</v>
      </c>
      <c r="M40" s="32">
        <v>1</v>
      </c>
      <c r="N40" s="65">
        <v>1</v>
      </c>
      <c r="O40" s="59">
        <f>SUM(E40:N40)</f>
        <v>7</v>
      </c>
      <c r="P40" s="5"/>
      <c r="Q40" s="16">
        <f t="shared" ref="Q40:Z41" si="20">$B40*E40</f>
        <v>0</v>
      </c>
      <c r="R40" s="12">
        <f t="shared" si="20"/>
        <v>0</v>
      </c>
      <c r="S40" s="12">
        <f t="shared" si="20"/>
        <v>0</v>
      </c>
      <c r="T40" s="12">
        <f t="shared" si="20"/>
        <v>8400</v>
      </c>
      <c r="U40" s="12">
        <f t="shared" si="20"/>
        <v>8400</v>
      </c>
      <c r="V40" s="12">
        <f t="shared" si="20"/>
        <v>8400</v>
      </c>
      <c r="W40" s="12">
        <f t="shared" si="20"/>
        <v>8400</v>
      </c>
      <c r="X40" s="12">
        <f t="shared" si="20"/>
        <v>8400</v>
      </c>
      <c r="Y40" s="12">
        <f t="shared" si="20"/>
        <v>8400</v>
      </c>
      <c r="Z40" s="12">
        <f t="shared" si="20"/>
        <v>8400</v>
      </c>
      <c r="AA40" s="13">
        <f t="shared" ref="AA40:AA42" si="21">SUM(Q40:Z40)</f>
        <v>58800</v>
      </c>
      <c r="AB40" s="54">
        <f>AA40-C40</f>
        <v>0</v>
      </c>
    </row>
    <row r="41" spans="1:28" x14ac:dyDescent="0.25">
      <c r="A41" s="4" t="s">
        <v>42</v>
      </c>
      <c r="B41" s="55">
        <f>B40*0.2</f>
        <v>1680</v>
      </c>
      <c r="C41" s="44">
        <f>B41*B$6</f>
        <v>11760</v>
      </c>
      <c r="D41" s="15"/>
      <c r="E41" s="31">
        <v>0</v>
      </c>
      <c r="F41" s="32">
        <v>0</v>
      </c>
      <c r="G41" s="32">
        <v>0</v>
      </c>
      <c r="H41" s="32">
        <v>1</v>
      </c>
      <c r="I41" s="32">
        <v>1</v>
      </c>
      <c r="J41" s="32">
        <v>1</v>
      </c>
      <c r="K41" s="32">
        <v>1</v>
      </c>
      <c r="L41" s="32">
        <v>1</v>
      </c>
      <c r="M41" s="32">
        <v>1</v>
      </c>
      <c r="N41" s="65">
        <v>1</v>
      </c>
      <c r="O41" s="59">
        <f>SUM(E41:N41)</f>
        <v>7</v>
      </c>
      <c r="P41" s="5"/>
      <c r="Q41" s="16">
        <f t="shared" si="20"/>
        <v>0</v>
      </c>
      <c r="R41" s="12">
        <f t="shared" si="20"/>
        <v>0</v>
      </c>
      <c r="S41" s="12">
        <f t="shared" si="20"/>
        <v>0</v>
      </c>
      <c r="T41" s="12">
        <f t="shared" si="20"/>
        <v>1680</v>
      </c>
      <c r="U41" s="12">
        <f t="shared" si="20"/>
        <v>1680</v>
      </c>
      <c r="V41" s="12">
        <f t="shared" si="20"/>
        <v>1680</v>
      </c>
      <c r="W41" s="12">
        <f t="shared" si="20"/>
        <v>1680</v>
      </c>
      <c r="X41" s="12">
        <f t="shared" si="20"/>
        <v>1680</v>
      </c>
      <c r="Y41" s="12">
        <f t="shared" si="20"/>
        <v>1680</v>
      </c>
      <c r="Z41" s="12">
        <f t="shared" si="20"/>
        <v>1680</v>
      </c>
      <c r="AA41" s="13">
        <f t="shared" si="21"/>
        <v>11760</v>
      </c>
      <c r="AB41" s="54">
        <f>AA41-C41</f>
        <v>0</v>
      </c>
    </row>
    <row r="42" spans="1:28" x14ac:dyDescent="0.25">
      <c r="A42" s="42" t="s">
        <v>55</v>
      </c>
      <c r="B42" s="55"/>
      <c r="C42" s="44">
        <f>C40-C41</f>
        <v>47040</v>
      </c>
      <c r="D42" s="15"/>
      <c r="E42" s="31"/>
      <c r="F42" s="32"/>
      <c r="G42" s="32"/>
      <c r="H42" s="32"/>
      <c r="I42" s="32"/>
      <c r="J42" s="32"/>
      <c r="K42" s="32"/>
      <c r="L42" s="32"/>
      <c r="M42" s="32"/>
      <c r="N42" s="65"/>
      <c r="O42" s="59"/>
      <c r="P42" s="5"/>
      <c r="Q42" s="16">
        <f>Q40-Q41</f>
        <v>0</v>
      </c>
      <c r="R42" s="12">
        <f t="shared" ref="R42:Z42" si="22">R40-R41</f>
        <v>0</v>
      </c>
      <c r="S42" s="12">
        <f t="shared" si="22"/>
        <v>0</v>
      </c>
      <c r="T42" s="12">
        <f t="shared" si="22"/>
        <v>6720</v>
      </c>
      <c r="U42" s="12">
        <f t="shared" si="22"/>
        <v>6720</v>
      </c>
      <c r="V42" s="12">
        <f t="shared" si="22"/>
        <v>6720</v>
      </c>
      <c r="W42" s="12">
        <f t="shared" si="22"/>
        <v>6720</v>
      </c>
      <c r="X42" s="12">
        <f t="shared" si="22"/>
        <v>6720</v>
      </c>
      <c r="Y42" s="12">
        <f t="shared" si="22"/>
        <v>6720</v>
      </c>
      <c r="Z42" s="12">
        <f t="shared" si="22"/>
        <v>6720</v>
      </c>
      <c r="AA42" s="13">
        <f t="shared" si="21"/>
        <v>47040</v>
      </c>
      <c r="AB42" s="54">
        <f>AA42-C42</f>
        <v>0</v>
      </c>
    </row>
    <row r="43" spans="1:28" x14ac:dyDescent="0.25">
      <c r="A43" s="4"/>
      <c r="B43" s="5"/>
      <c r="C43" s="30"/>
      <c r="D43" s="15"/>
      <c r="E43" s="31"/>
      <c r="F43" s="32"/>
      <c r="G43" s="32"/>
      <c r="H43" s="32"/>
      <c r="I43" s="32"/>
      <c r="J43" s="32"/>
      <c r="K43" s="32"/>
      <c r="L43" s="32"/>
      <c r="M43" s="32"/>
      <c r="N43" s="65"/>
      <c r="O43" s="59"/>
      <c r="P43" s="5"/>
      <c r="Q43" s="16"/>
      <c r="R43" s="12"/>
      <c r="S43" s="12"/>
      <c r="T43" s="12"/>
      <c r="U43" s="12"/>
      <c r="V43" s="12"/>
      <c r="W43" s="12"/>
      <c r="X43" s="12"/>
      <c r="Y43" s="12"/>
      <c r="Z43" s="12"/>
      <c r="AA43" s="13"/>
      <c r="AB43" s="54"/>
    </row>
    <row r="44" spans="1:28" x14ac:dyDescent="0.25">
      <c r="A44" s="33" t="s">
        <v>22</v>
      </c>
      <c r="B44" s="58" t="s">
        <v>25</v>
      </c>
      <c r="C44" s="29" t="s">
        <v>24</v>
      </c>
      <c r="D44" s="15"/>
      <c r="E44" s="4"/>
      <c r="F44" s="5"/>
      <c r="G44" s="5"/>
      <c r="H44" s="5"/>
      <c r="I44" s="5"/>
      <c r="J44" s="32"/>
      <c r="K44" s="32"/>
      <c r="L44" s="32"/>
      <c r="M44" s="32"/>
      <c r="N44" s="65"/>
      <c r="O44" s="59"/>
      <c r="P44" s="5"/>
      <c r="Q44" s="16"/>
      <c r="R44" s="12"/>
      <c r="S44" s="12"/>
      <c r="T44" s="12"/>
      <c r="U44" s="12"/>
      <c r="V44" s="12"/>
      <c r="W44" s="12"/>
      <c r="X44" s="12"/>
      <c r="Y44" s="12"/>
      <c r="Z44" s="12"/>
      <c r="AA44" s="13"/>
      <c r="AB44" s="54"/>
    </row>
    <row r="45" spans="1:28" x14ac:dyDescent="0.25">
      <c r="A45" s="4" t="s">
        <v>23</v>
      </c>
      <c r="B45" s="36">
        <v>200</v>
      </c>
      <c r="C45" s="44">
        <f t="shared" ref="C45:C46" si="23">B45*B$6</f>
        <v>1400</v>
      </c>
      <c r="D45" s="15"/>
      <c r="E45" s="31">
        <v>0</v>
      </c>
      <c r="F45" s="32">
        <v>0</v>
      </c>
      <c r="G45" s="32">
        <v>0</v>
      </c>
      <c r="H45" s="32">
        <v>1</v>
      </c>
      <c r="I45" s="32">
        <v>1</v>
      </c>
      <c r="J45" s="32">
        <v>1</v>
      </c>
      <c r="K45" s="32">
        <v>1</v>
      </c>
      <c r="L45" s="32">
        <v>1</v>
      </c>
      <c r="M45" s="32">
        <v>1</v>
      </c>
      <c r="N45" s="65">
        <v>1</v>
      </c>
      <c r="O45" s="59">
        <f t="shared" ref="O45:O46" si="24">SUM(E45:N45)</f>
        <v>7</v>
      </c>
      <c r="P45" s="5"/>
      <c r="Q45" s="16">
        <f t="shared" ref="Q45:Z47" si="25">$B45*E45</f>
        <v>0</v>
      </c>
      <c r="R45" s="12">
        <f t="shared" si="25"/>
        <v>0</v>
      </c>
      <c r="S45" s="12">
        <f t="shared" si="25"/>
        <v>0</v>
      </c>
      <c r="T45" s="12">
        <f t="shared" si="25"/>
        <v>200</v>
      </c>
      <c r="U45" s="12">
        <f t="shared" si="25"/>
        <v>200</v>
      </c>
      <c r="V45" s="12">
        <f t="shared" si="25"/>
        <v>200</v>
      </c>
      <c r="W45" s="12">
        <f t="shared" si="25"/>
        <v>200</v>
      </c>
      <c r="X45" s="12">
        <f t="shared" si="25"/>
        <v>200</v>
      </c>
      <c r="Y45" s="12">
        <f t="shared" si="25"/>
        <v>200</v>
      </c>
      <c r="Z45" s="12">
        <f t="shared" si="25"/>
        <v>200</v>
      </c>
      <c r="AA45" s="13">
        <f t="shared" ref="AA45:AA46" si="26">SUM(Q45:Z45)</f>
        <v>1400</v>
      </c>
      <c r="AB45" s="54">
        <f>AA45-C45</f>
        <v>0</v>
      </c>
    </row>
    <row r="46" spans="1:28" x14ac:dyDescent="0.25">
      <c r="A46" s="34" t="s">
        <v>38</v>
      </c>
      <c r="B46" s="37">
        <f>B7*B9*B10</f>
        <v>2400</v>
      </c>
      <c r="C46" s="44">
        <f t="shared" si="23"/>
        <v>16800</v>
      </c>
      <c r="D46" s="15"/>
      <c r="E46" s="31">
        <v>0</v>
      </c>
      <c r="F46" s="32">
        <v>0</v>
      </c>
      <c r="G46" s="32">
        <v>0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  <c r="M46" s="32">
        <v>1</v>
      </c>
      <c r="N46" s="65">
        <v>1</v>
      </c>
      <c r="O46" s="59">
        <f t="shared" si="24"/>
        <v>7</v>
      </c>
      <c r="P46" s="5"/>
      <c r="Q46" s="16">
        <f t="shared" si="25"/>
        <v>0</v>
      </c>
      <c r="R46" s="12">
        <f t="shared" si="25"/>
        <v>0</v>
      </c>
      <c r="S46" s="12">
        <f t="shared" si="25"/>
        <v>0</v>
      </c>
      <c r="T46" s="12">
        <f t="shared" si="25"/>
        <v>2400</v>
      </c>
      <c r="U46" s="12">
        <f t="shared" si="25"/>
        <v>2400</v>
      </c>
      <c r="V46" s="12">
        <f t="shared" si="25"/>
        <v>2400</v>
      </c>
      <c r="W46" s="12">
        <f t="shared" si="25"/>
        <v>2400</v>
      </c>
      <c r="X46" s="12">
        <f t="shared" si="25"/>
        <v>2400</v>
      </c>
      <c r="Y46" s="12">
        <f t="shared" si="25"/>
        <v>2400</v>
      </c>
      <c r="Z46" s="12">
        <f t="shared" si="25"/>
        <v>2400</v>
      </c>
      <c r="AA46" s="13">
        <f t="shared" si="26"/>
        <v>16800</v>
      </c>
      <c r="AB46" s="54">
        <f>AA46-C46</f>
        <v>0</v>
      </c>
    </row>
    <row r="47" spans="1:28" x14ac:dyDescent="0.25">
      <c r="A47" s="4" t="s">
        <v>18</v>
      </c>
      <c r="B47" s="50">
        <f>B11*20</f>
        <v>30.4</v>
      </c>
      <c r="C47" s="44">
        <f>B47*B$6</f>
        <v>212.79999999999998</v>
      </c>
      <c r="D47" s="15"/>
      <c r="E47" s="31">
        <v>0</v>
      </c>
      <c r="F47" s="32">
        <v>0</v>
      </c>
      <c r="G47" s="32">
        <v>0</v>
      </c>
      <c r="H47" s="32">
        <v>1</v>
      </c>
      <c r="I47" s="32">
        <v>1</v>
      </c>
      <c r="J47" s="32">
        <v>1</v>
      </c>
      <c r="K47" s="32">
        <v>1</v>
      </c>
      <c r="L47" s="32">
        <v>1</v>
      </c>
      <c r="M47" s="32">
        <v>1</v>
      </c>
      <c r="N47" s="65">
        <v>1</v>
      </c>
      <c r="O47" s="59">
        <f>SUM(E47:N47)</f>
        <v>7</v>
      </c>
      <c r="P47" s="5"/>
      <c r="Q47" s="16">
        <f t="shared" si="25"/>
        <v>0</v>
      </c>
      <c r="R47" s="12">
        <f t="shared" si="25"/>
        <v>0</v>
      </c>
      <c r="S47" s="12">
        <f t="shared" si="25"/>
        <v>0</v>
      </c>
      <c r="T47" s="12">
        <f t="shared" si="25"/>
        <v>30.4</v>
      </c>
      <c r="U47" s="12">
        <f t="shared" si="25"/>
        <v>30.4</v>
      </c>
      <c r="V47" s="12">
        <f t="shared" si="25"/>
        <v>30.4</v>
      </c>
      <c r="W47" s="12">
        <f t="shared" si="25"/>
        <v>30.4</v>
      </c>
      <c r="X47" s="12">
        <f t="shared" si="25"/>
        <v>30.4</v>
      </c>
      <c r="Y47" s="12">
        <f t="shared" si="25"/>
        <v>30.4</v>
      </c>
      <c r="Z47" s="12">
        <f t="shared" si="25"/>
        <v>30.4</v>
      </c>
      <c r="AA47" s="13">
        <f>SUM(Q47:Z47)</f>
        <v>212.8</v>
      </c>
      <c r="AB47" s="54">
        <f>AA47-C47</f>
        <v>0</v>
      </c>
    </row>
    <row r="48" spans="1:28" x14ac:dyDescent="0.25">
      <c r="A48" s="41" t="s">
        <v>5</v>
      </c>
      <c r="B48" s="55"/>
      <c r="C48" s="44">
        <f>SUM(C45:C47)</f>
        <v>18412.8</v>
      </c>
      <c r="D48" s="15"/>
      <c r="E48" s="31"/>
      <c r="F48" s="32"/>
      <c r="G48" s="32"/>
      <c r="H48" s="32"/>
      <c r="I48" s="32"/>
      <c r="J48" s="32"/>
      <c r="K48" s="32"/>
      <c r="L48" s="32"/>
      <c r="M48" s="32"/>
      <c r="N48" s="65"/>
      <c r="O48" s="59"/>
      <c r="P48" s="5"/>
      <c r="Q48" s="16">
        <f t="shared" ref="Q48:Z48" si="27">SUM(Q45:Q47)</f>
        <v>0</v>
      </c>
      <c r="R48" s="12">
        <f t="shared" si="27"/>
        <v>0</v>
      </c>
      <c r="S48" s="12">
        <f t="shared" si="27"/>
        <v>0</v>
      </c>
      <c r="T48" s="12">
        <f t="shared" si="27"/>
        <v>2630.4</v>
      </c>
      <c r="U48" s="12">
        <f t="shared" si="27"/>
        <v>2630.4</v>
      </c>
      <c r="V48" s="12">
        <f t="shared" si="27"/>
        <v>2630.4</v>
      </c>
      <c r="W48" s="12">
        <f t="shared" si="27"/>
        <v>2630.4</v>
      </c>
      <c r="X48" s="12">
        <f t="shared" si="27"/>
        <v>2630.4</v>
      </c>
      <c r="Y48" s="12">
        <f t="shared" si="27"/>
        <v>2630.4</v>
      </c>
      <c r="Z48" s="12">
        <f t="shared" si="27"/>
        <v>2630.4</v>
      </c>
      <c r="AA48" s="13">
        <f t="shared" ref="AA48" si="28">SUM(Q48:Z48)</f>
        <v>18412.8</v>
      </c>
      <c r="AB48" s="54">
        <f>AA48-C48</f>
        <v>0</v>
      </c>
    </row>
    <row r="49" spans="1:28" x14ac:dyDescent="0.25">
      <c r="A49" s="4"/>
      <c r="B49" s="45"/>
      <c r="C49" s="30"/>
      <c r="D49" s="15"/>
      <c r="E49" s="31"/>
      <c r="F49" s="32"/>
      <c r="G49" s="32"/>
      <c r="H49" s="32"/>
      <c r="I49" s="32"/>
      <c r="J49" s="32"/>
      <c r="K49" s="32"/>
      <c r="L49" s="32"/>
      <c r="M49" s="32"/>
      <c r="N49" s="65"/>
      <c r="O49" s="59"/>
      <c r="P49" s="5"/>
      <c r="Q49" s="16"/>
      <c r="R49" s="12"/>
      <c r="S49" s="12"/>
      <c r="T49" s="12"/>
      <c r="U49" s="12"/>
      <c r="V49" s="12"/>
      <c r="W49" s="12"/>
      <c r="X49" s="12"/>
      <c r="Y49" s="12"/>
      <c r="Z49" s="12"/>
      <c r="AA49" s="13"/>
      <c r="AB49" s="12"/>
    </row>
    <row r="50" spans="1:28" x14ac:dyDescent="0.25">
      <c r="A50" s="33" t="s">
        <v>45</v>
      </c>
      <c r="B50" s="45"/>
      <c r="C50" s="29" t="s">
        <v>24</v>
      </c>
      <c r="D50" s="15"/>
      <c r="E50" s="31"/>
      <c r="F50" s="32"/>
      <c r="G50" s="32"/>
      <c r="H50" s="32"/>
      <c r="I50" s="32"/>
      <c r="J50" s="32"/>
      <c r="K50" s="32"/>
      <c r="L50" s="32"/>
      <c r="M50" s="32"/>
      <c r="N50" s="65"/>
      <c r="O50" s="59"/>
      <c r="P50" s="5"/>
      <c r="Q50" s="16"/>
      <c r="R50" s="12"/>
      <c r="S50" s="12"/>
      <c r="T50" s="12"/>
      <c r="U50" s="12"/>
      <c r="V50" s="12"/>
      <c r="W50" s="12"/>
      <c r="X50" s="12"/>
      <c r="Y50" s="12"/>
      <c r="Z50" s="12"/>
      <c r="AA50" s="13"/>
      <c r="AB50" s="12"/>
    </row>
    <row r="51" spans="1:28" x14ac:dyDescent="0.25">
      <c r="A51" s="51" t="s">
        <v>44</v>
      </c>
      <c r="B51" s="52"/>
      <c r="C51" s="44">
        <f>(B8-B7)*B9*B10*0.5</f>
        <v>3000</v>
      </c>
      <c r="D51" s="15"/>
      <c r="E51" s="31">
        <v>0</v>
      </c>
      <c r="F51" s="32">
        <v>0</v>
      </c>
      <c r="G51" s="32">
        <v>0</v>
      </c>
      <c r="H51" s="32">
        <v>1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65">
        <v>0</v>
      </c>
      <c r="O51" s="59">
        <f t="shared" ref="O51" si="29">SUM(E51:N51)</f>
        <v>1</v>
      </c>
      <c r="P51" s="5"/>
      <c r="Q51" s="16">
        <f t="shared" ref="Q51:Z51" si="30">$C51*E51</f>
        <v>0</v>
      </c>
      <c r="R51" s="12">
        <f t="shared" si="30"/>
        <v>0</v>
      </c>
      <c r="S51" s="12">
        <f t="shared" si="30"/>
        <v>0</v>
      </c>
      <c r="T51" s="12">
        <f t="shared" si="30"/>
        <v>3000</v>
      </c>
      <c r="U51" s="12">
        <f t="shared" si="30"/>
        <v>0</v>
      </c>
      <c r="V51" s="12">
        <f t="shared" si="30"/>
        <v>0</v>
      </c>
      <c r="W51" s="12">
        <f t="shared" si="30"/>
        <v>0</v>
      </c>
      <c r="X51" s="12">
        <f t="shared" si="30"/>
        <v>0</v>
      </c>
      <c r="Y51" s="12">
        <f t="shared" si="30"/>
        <v>0</v>
      </c>
      <c r="Z51" s="12">
        <f t="shared" si="30"/>
        <v>0</v>
      </c>
      <c r="AA51" s="13">
        <f t="shared" ref="AA51:AA52" si="31">SUM(Q51:Z51)</f>
        <v>3000</v>
      </c>
      <c r="AB51" s="54">
        <f>AA51-C51</f>
        <v>0</v>
      </c>
    </row>
    <row r="52" spans="1:28" x14ac:dyDescent="0.25">
      <c r="A52" s="4" t="s">
        <v>39</v>
      </c>
      <c r="B52" s="50">
        <f>(B7*B9*B10)*0.05</f>
        <v>120</v>
      </c>
      <c r="C52" s="44">
        <f t="shared" ref="C52" si="32">B52*B$6</f>
        <v>840</v>
      </c>
      <c r="D52" s="15"/>
      <c r="E52" s="31">
        <v>0</v>
      </c>
      <c r="F52" s="32">
        <v>0</v>
      </c>
      <c r="G52" s="32">
        <v>0</v>
      </c>
      <c r="H52" s="32">
        <v>1</v>
      </c>
      <c r="I52" s="32">
        <v>1</v>
      </c>
      <c r="J52" s="32">
        <v>1</v>
      </c>
      <c r="K52" s="32">
        <v>1</v>
      </c>
      <c r="L52" s="32">
        <v>1</v>
      </c>
      <c r="M52" s="32">
        <v>1</v>
      </c>
      <c r="N52" s="65">
        <v>1</v>
      </c>
      <c r="O52" s="59">
        <f t="shared" ref="O52" si="33">SUM(E52:N52)</f>
        <v>7</v>
      </c>
      <c r="P52" s="5"/>
      <c r="Q52" s="16">
        <f t="shared" ref="Q52:Z52" si="34">$B52*E52</f>
        <v>0</v>
      </c>
      <c r="R52" s="12">
        <f t="shared" si="34"/>
        <v>0</v>
      </c>
      <c r="S52" s="12">
        <f t="shared" si="34"/>
        <v>0</v>
      </c>
      <c r="T52" s="12">
        <f t="shared" si="34"/>
        <v>120</v>
      </c>
      <c r="U52" s="12">
        <f t="shared" si="34"/>
        <v>120</v>
      </c>
      <c r="V52" s="12">
        <f t="shared" si="34"/>
        <v>120</v>
      </c>
      <c r="W52" s="12">
        <f t="shared" si="34"/>
        <v>120</v>
      </c>
      <c r="X52" s="12">
        <f t="shared" si="34"/>
        <v>120</v>
      </c>
      <c r="Y52" s="12">
        <f t="shared" si="34"/>
        <v>120</v>
      </c>
      <c r="Z52" s="12">
        <f t="shared" si="34"/>
        <v>120</v>
      </c>
      <c r="AA52" s="13">
        <f t="shared" si="31"/>
        <v>840</v>
      </c>
      <c r="AB52" s="54">
        <f>AA52-C52</f>
        <v>0</v>
      </c>
    </row>
    <row r="53" spans="1:28" x14ac:dyDescent="0.25">
      <c r="A53" s="41" t="s">
        <v>5</v>
      </c>
      <c r="B53" s="45"/>
      <c r="C53" s="44">
        <f>SUM(C51:C52)</f>
        <v>3840</v>
      </c>
      <c r="D53" s="15"/>
      <c r="E53" s="31"/>
      <c r="F53" s="32"/>
      <c r="G53" s="32"/>
      <c r="H53" s="32"/>
      <c r="I53" s="32"/>
      <c r="J53" s="32"/>
      <c r="K53" s="32"/>
      <c r="L53" s="32"/>
      <c r="M53" s="32"/>
      <c r="N53" s="65"/>
      <c r="O53" s="59"/>
      <c r="P53" s="5"/>
      <c r="Q53" s="16">
        <f t="shared" ref="Q53:Z53" si="35">SUM(Q51:Q52)</f>
        <v>0</v>
      </c>
      <c r="R53" s="12">
        <f t="shared" si="35"/>
        <v>0</v>
      </c>
      <c r="S53" s="12">
        <f t="shared" si="35"/>
        <v>0</v>
      </c>
      <c r="T53" s="12">
        <f t="shared" si="35"/>
        <v>3120</v>
      </c>
      <c r="U53" s="12">
        <f t="shared" si="35"/>
        <v>120</v>
      </c>
      <c r="V53" s="12">
        <f t="shared" si="35"/>
        <v>120</v>
      </c>
      <c r="W53" s="12">
        <f t="shared" si="35"/>
        <v>120</v>
      </c>
      <c r="X53" s="12">
        <f t="shared" si="35"/>
        <v>120</v>
      </c>
      <c r="Y53" s="12">
        <f t="shared" si="35"/>
        <v>120</v>
      </c>
      <c r="Z53" s="12">
        <f t="shared" si="35"/>
        <v>120</v>
      </c>
      <c r="AA53" s="13">
        <f t="shared" ref="AA53" si="36">SUM(Q53:Z53)</f>
        <v>3840</v>
      </c>
      <c r="AB53" s="54">
        <f>AA53-C53</f>
        <v>0</v>
      </c>
    </row>
    <row r="54" spans="1:28" x14ac:dyDescent="0.25">
      <c r="A54" s="4"/>
      <c r="B54" s="45"/>
      <c r="C54" s="30"/>
      <c r="D54" s="15"/>
      <c r="E54" s="31"/>
      <c r="F54" s="32"/>
      <c r="G54" s="32"/>
      <c r="H54" s="32"/>
      <c r="I54" s="32"/>
      <c r="J54" s="32"/>
      <c r="K54" s="32"/>
      <c r="L54" s="32"/>
      <c r="M54" s="32"/>
      <c r="N54" s="65"/>
      <c r="O54" s="59"/>
      <c r="P54" s="5"/>
      <c r="Q54" s="16"/>
      <c r="R54" s="12"/>
      <c r="S54" s="12"/>
      <c r="T54" s="12"/>
      <c r="U54" s="12"/>
      <c r="V54" s="12"/>
      <c r="W54" s="12"/>
      <c r="X54" s="12"/>
      <c r="Y54" s="12"/>
      <c r="Z54" s="12"/>
      <c r="AA54" s="13"/>
      <c r="AB54" s="12"/>
    </row>
    <row r="55" spans="1:28" x14ac:dyDescent="0.25">
      <c r="A55" s="33" t="s">
        <v>64</v>
      </c>
      <c r="B55" s="45"/>
      <c r="C55" s="29" t="s">
        <v>24</v>
      </c>
      <c r="D55" s="15"/>
      <c r="E55" s="31"/>
      <c r="F55" s="32"/>
      <c r="G55" s="32"/>
      <c r="H55" s="32"/>
      <c r="I55" s="32"/>
      <c r="J55" s="32"/>
      <c r="K55" s="32"/>
      <c r="L55" s="32"/>
      <c r="M55" s="32"/>
      <c r="N55" s="65"/>
      <c r="O55" s="59"/>
      <c r="P55" s="5"/>
      <c r="Q55" s="16"/>
      <c r="R55" s="12"/>
      <c r="S55" s="12"/>
      <c r="T55" s="12"/>
      <c r="U55" s="12"/>
      <c r="V55" s="12"/>
      <c r="W55" s="12"/>
      <c r="X55" s="12"/>
      <c r="Y55" s="12"/>
      <c r="Z55" s="12"/>
      <c r="AA55" s="13"/>
      <c r="AB55" s="12"/>
    </row>
    <row r="56" spans="1:28" x14ac:dyDescent="0.25">
      <c r="A56" s="51" t="s">
        <v>52</v>
      </c>
      <c r="B56" s="52"/>
      <c r="C56" s="44">
        <f>C42-C48-C53</f>
        <v>24787.200000000001</v>
      </c>
      <c r="D56" s="15"/>
      <c r="E56" s="31"/>
      <c r="F56" s="32"/>
      <c r="G56" s="32"/>
      <c r="H56" s="32"/>
      <c r="I56" s="32"/>
      <c r="J56" s="32"/>
      <c r="K56" s="32"/>
      <c r="L56" s="32"/>
      <c r="M56" s="32"/>
      <c r="N56" s="65"/>
      <c r="O56" s="59"/>
      <c r="P56" s="5"/>
      <c r="Q56" s="16">
        <f t="shared" ref="Q56:S56" si="37">Q42-Q48-Q53</f>
        <v>0</v>
      </c>
      <c r="R56" s="12">
        <f t="shared" si="37"/>
        <v>0</v>
      </c>
      <c r="S56" s="12">
        <f t="shared" si="37"/>
        <v>0</v>
      </c>
      <c r="T56" s="12">
        <f>T42-T48-T53</f>
        <v>969.59999999999991</v>
      </c>
      <c r="U56" s="12">
        <f t="shared" ref="U56:Z56" si="38">U42-U48-U53</f>
        <v>3969.6</v>
      </c>
      <c r="V56" s="12">
        <f t="shared" si="38"/>
        <v>3969.6</v>
      </c>
      <c r="W56" s="12">
        <f t="shared" si="38"/>
        <v>3969.6</v>
      </c>
      <c r="X56" s="12">
        <f t="shared" si="38"/>
        <v>3969.6</v>
      </c>
      <c r="Y56" s="12">
        <f t="shared" si="38"/>
        <v>3969.6</v>
      </c>
      <c r="Z56" s="12">
        <f t="shared" si="38"/>
        <v>3969.6</v>
      </c>
      <c r="AA56" s="13">
        <f t="shared" ref="AA56:AA57" si="39">SUM(Q56:Z56)</f>
        <v>24787.199999999997</v>
      </c>
      <c r="AB56" s="54">
        <f>AA56-C56</f>
        <v>0</v>
      </c>
    </row>
    <row r="57" spans="1:28" x14ac:dyDescent="0.25">
      <c r="A57" s="51" t="s">
        <v>53</v>
      </c>
      <c r="B57" s="52"/>
      <c r="C57" s="44">
        <f>C30-C25</f>
        <v>13710.36</v>
      </c>
      <c r="D57" s="15"/>
      <c r="E57" s="31"/>
      <c r="F57" s="32"/>
      <c r="G57" s="32"/>
      <c r="H57" s="32"/>
      <c r="I57" s="32"/>
      <c r="J57" s="32"/>
      <c r="K57" s="32"/>
      <c r="L57" s="32"/>
      <c r="M57" s="32"/>
      <c r="N57" s="65"/>
      <c r="O57" s="59"/>
      <c r="P57" s="5"/>
      <c r="Q57" s="16">
        <f>IF(C57&gt;Q56,Q56,C57)</f>
        <v>0</v>
      </c>
      <c r="R57" s="12">
        <f>IF($C57&gt;SUM($Q56:R56),R56,($C57-SUM($Q57:Q57)))</f>
        <v>0</v>
      </c>
      <c r="S57" s="12">
        <f>IF($C57&gt;SUM($Q56:S56),S56,($C57-SUM($Q57:R57)))</f>
        <v>0</v>
      </c>
      <c r="T57" s="12">
        <f>IF($C57&gt;SUM($Q56:T56),T56,($C57-SUM($Q57:S57)))</f>
        <v>969.59999999999991</v>
      </c>
      <c r="U57" s="12">
        <f>IF($C57&gt;SUM($Q56:U56),U56,($C57-SUM($Q57:T57)))</f>
        <v>3969.6</v>
      </c>
      <c r="V57" s="12">
        <f>IF($C57&gt;SUM($Q56:V56),V56,($C57-SUM($Q57:U57)))</f>
        <v>3969.6</v>
      </c>
      <c r="W57" s="12">
        <f>IF($C57&gt;SUM($Q56:W56),W56,($C57-SUM($Q57:V57)))</f>
        <v>3969.6</v>
      </c>
      <c r="X57" s="12">
        <f>IF($C57&gt;SUM($Q56:X56),X56,($C57-SUM($Q57:W57)))</f>
        <v>831.96000000000095</v>
      </c>
      <c r="Y57" s="12">
        <f>IF($C57&gt;SUM($Q56:Y56),Y56,($C57-SUM($Q57:X57)))</f>
        <v>0</v>
      </c>
      <c r="Z57" s="12">
        <f>IF($C57&gt;SUM($Q56:Z56),Z56,($C57-SUM($Q57:Y57)))</f>
        <v>0</v>
      </c>
      <c r="AA57" s="13">
        <f t="shared" si="39"/>
        <v>13710.36</v>
      </c>
      <c r="AB57" s="54">
        <f>AA57-C57</f>
        <v>0</v>
      </c>
    </row>
    <row r="58" spans="1:28" x14ac:dyDescent="0.25">
      <c r="A58" s="41" t="s">
        <v>66</v>
      </c>
      <c r="B58" s="53"/>
      <c r="C58" s="44">
        <f>(C56-C57)*B12</f>
        <v>2215.3679999999999</v>
      </c>
      <c r="D58" s="15"/>
      <c r="E58" s="31"/>
      <c r="F58" s="32"/>
      <c r="G58" s="32"/>
      <c r="H58" s="32"/>
      <c r="I58" s="32"/>
      <c r="J58" s="32"/>
      <c r="K58" s="32"/>
      <c r="L58" s="32"/>
      <c r="M58" s="32"/>
      <c r="N58" s="65"/>
      <c r="O58" s="59"/>
      <c r="P58" s="5"/>
      <c r="Q58" s="16">
        <f t="shared" ref="Q58:Z58" si="40">(Q56-Q57)*$B12</f>
        <v>0</v>
      </c>
      <c r="R58" s="12">
        <f t="shared" si="40"/>
        <v>0</v>
      </c>
      <c r="S58" s="12">
        <f t="shared" si="40"/>
        <v>0</v>
      </c>
      <c r="T58" s="12">
        <f t="shared" si="40"/>
        <v>0</v>
      </c>
      <c r="U58" s="12">
        <f t="shared" si="40"/>
        <v>0</v>
      </c>
      <c r="V58" s="12">
        <f t="shared" si="40"/>
        <v>0</v>
      </c>
      <c r="W58" s="12">
        <f t="shared" si="40"/>
        <v>0</v>
      </c>
      <c r="X58" s="12">
        <f t="shared" si="40"/>
        <v>627.52799999999979</v>
      </c>
      <c r="Y58" s="12">
        <f t="shared" si="40"/>
        <v>793.92000000000007</v>
      </c>
      <c r="Z58" s="12">
        <f t="shared" si="40"/>
        <v>793.92000000000007</v>
      </c>
      <c r="AA58" s="13">
        <f t="shared" ref="AA58" si="41">SUM(Q58:Z58)</f>
        <v>2215.3679999999999</v>
      </c>
      <c r="AB58" s="54">
        <f>AA58-C58</f>
        <v>0</v>
      </c>
    </row>
    <row r="59" spans="1:28" x14ac:dyDescent="0.25">
      <c r="A59" s="7"/>
      <c r="B59" s="8"/>
      <c r="C59" s="61"/>
      <c r="D59" s="15"/>
      <c r="E59" s="66"/>
      <c r="F59" s="67"/>
      <c r="G59" s="67"/>
      <c r="H59" s="67"/>
      <c r="I59" s="67"/>
      <c r="J59" s="67"/>
      <c r="K59" s="67"/>
      <c r="L59" s="67"/>
      <c r="M59" s="67"/>
      <c r="N59" s="68"/>
      <c r="O59" s="59"/>
      <c r="P59" s="5"/>
      <c r="Q59" s="62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12"/>
    </row>
    <row r="60" spans="1:28" x14ac:dyDescent="0.25">
      <c r="A60" s="5"/>
      <c r="B60" s="5"/>
      <c r="C60" s="58"/>
      <c r="D60" s="15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59"/>
      <c r="P60" s="5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ht="7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5"/>
      <c r="B62" s="5"/>
      <c r="C62" s="5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8" x14ac:dyDescent="0.25">
      <c r="A63" s="27" t="s">
        <v>6</v>
      </c>
      <c r="B63" s="35"/>
      <c r="C63" s="2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"/>
      <c r="Q63" s="18" t="s">
        <v>0</v>
      </c>
      <c r="R63" s="18" t="s">
        <v>1</v>
      </c>
      <c r="S63" s="18" t="s">
        <v>2</v>
      </c>
      <c r="T63" s="18" t="s">
        <v>3</v>
      </c>
      <c r="U63" s="18" t="s">
        <v>4</v>
      </c>
      <c r="V63" s="18" t="s">
        <v>13</v>
      </c>
      <c r="W63" s="18" t="s">
        <v>14</v>
      </c>
      <c r="X63" s="18" t="s">
        <v>15</v>
      </c>
      <c r="Y63" s="18" t="s">
        <v>16</v>
      </c>
      <c r="Z63" s="18" t="s">
        <v>17</v>
      </c>
      <c r="AA63" s="19" t="s">
        <v>5</v>
      </c>
      <c r="AB63" s="1"/>
    </row>
    <row r="64" spans="1:28" ht="6" customHeight="1" x14ac:dyDescent="0.25">
      <c r="A64" s="4"/>
      <c r="B64" s="5"/>
      <c r="C64" s="5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6"/>
      <c r="AB64" s="5"/>
    </row>
    <row r="65" spans="1:29" x14ac:dyDescent="0.25">
      <c r="A65" s="21" t="s">
        <v>79</v>
      </c>
      <c r="B65" s="3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2">
        <f t="shared" ref="Q65:Z65" si="42">Q28</f>
        <v>4302.0720000000001</v>
      </c>
      <c r="R65" s="12">
        <f t="shared" si="42"/>
        <v>4095.18</v>
      </c>
      <c r="S65" s="12">
        <f t="shared" si="42"/>
        <v>2313.1080000000002</v>
      </c>
      <c r="T65" s="12">
        <f t="shared" si="42"/>
        <v>0</v>
      </c>
      <c r="U65" s="12">
        <f t="shared" si="42"/>
        <v>0</v>
      </c>
      <c r="V65" s="12">
        <f t="shared" si="42"/>
        <v>0</v>
      </c>
      <c r="W65" s="12">
        <f t="shared" si="42"/>
        <v>0</v>
      </c>
      <c r="X65" s="12">
        <f t="shared" si="42"/>
        <v>0</v>
      </c>
      <c r="Y65" s="12">
        <f t="shared" si="42"/>
        <v>0</v>
      </c>
      <c r="Z65" s="12">
        <f t="shared" si="42"/>
        <v>0</v>
      </c>
      <c r="AA65" s="13">
        <f>SUM(Q65:Z65)</f>
        <v>10710.36</v>
      </c>
      <c r="AC65" s="76"/>
    </row>
    <row r="66" spans="1:29" x14ac:dyDescent="0.25">
      <c r="A66" s="21" t="s">
        <v>91</v>
      </c>
      <c r="B66" s="3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2">
        <f t="shared" ref="Q66:Z66" si="43">Q29</f>
        <v>333.33333333333331</v>
      </c>
      <c r="R66" s="12">
        <f t="shared" si="43"/>
        <v>333.33333333333331</v>
      </c>
      <c r="S66" s="12">
        <f t="shared" si="43"/>
        <v>333.33333333333331</v>
      </c>
      <c r="T66" s="12">
        <f t="shared" si="43"/>
        <v>3000</v>
      </c>
      <c r="U66" s="12">
        <f t="shared" si="43"/>
        <v>0</v>
      </c>
      <c r="V66" s="12">
        <f t="shared" si="43"/>
        <v>0</v>
      </c>
      <c r="W66" s="12">
        <f t="shared" si="43"/>
        <v>0</v>
      </c>
      <c r="X66" s="12">
        <f t="shared" si="43"/>
        <v>0</v>
      </c>
      <c r="Y66" s="12">
        <f t="shared" si="43"/>
        <v>0</v>
      </c>
      <c r="Z66" s="12">
        <f t="shared" si="43"/>
        <v>0</v>
      </c>
      <c r="AA66" s="13">
        <f t="shared" ref="AA66:AA74" si="44">SUM(Q66:Z66)</f>
        <v>4000</v>
      </c>
      <c r="AC66" s="76"/>
    </row>
    <row r="67" spans="1:29" x14ac:dyDescent="0.25">
      <c r="A67" s="21" t="s">
        <v>67</v>
      </c>
      <c r="B67" s="3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2">
        <f>Q37</f>
        <v>160</v>
      </c>
      <c r="R67" s="12">
        <f t="shared" ref="R67:Z67" si="45">R37</f>
        <v>400</v>
      </c>
      <c r="S67" s="12">
        <f t="shared" si="45"/>
        <v>240</v>
      </c>
      <c r="T67" s="12">
        <f t="shared" si="45"/>
        <v>0</v>
      </c>
      <c r="U67" s="12">
        <f t="shared" si="45"/>
        <v>0</v>
      </c>
      <c r="V67" s="12">
        <f t="shared" si="45"/>
        <v>0</v>
      </c>
      <c r="W67" s="12">
        <f t="shared" si="45"/>
        <v>0</v>
      </c>
      <c r="X67" s="12">
        <f t="shared" si="45"/>
        <v>0</v>
      </c>
      <c r="Y67" s="12">
        <f t="shared" si="45"/>
        <v>0</v>
      </c>
      <c r="Z67" s="12">
        <f t="shared" si="45"/>
        <v>0</v>
      </c>
      <c r="AA67" s="13">
        <f t="shared" si="44"/>
        <v>800</v>
      </c>
      <c r="AC67" s="76"/>
    </row>
    <row r="68" spans="1:29" x14ac:dyDescent="0.25">
      <c r="A68" s="23" t="s">
        <v>58</v>
      </c>
      <c r="B68" s="3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2">
        <f t="shared" ref="Q68:Z68" si="46">Q40</f>
        <v>0</v>
      </c>
      <c r="R68" s="12">
        <f t="shared" si="46"/>
        <v>0</v>
      </c>
      <c r="S68" s="12">
        <f t="shared" si="46"/>
        <v>0</v>
      </c>
      <c r="T68" s="12">
        <f t="shared" si="46"/>
        <v>8400</v>
      </c>
      <c r="U68" s="12">
        <f t="shared" si="46"/>
        <v>8400</v>
      </c>
      <c r="V68" s="12">
        <f t="shared" si="46"/>
        <v>8400</v>
      </c>
      <c r="W68" s="12">
        <f t="shared" si="46"/>
        <v>8400</v>
      </c>
      <c r="X68" s="12">
        <f t="shared" si="46"/>
        <v>8400</v>
      </c>
      <c r="Y68" s="12">
        <f t="shared" si="46"/>
        <v>8400</v>
      </c>
      <c r="Z68" s="12">
        <f t="shared" si="46"/>
        <v>8400</v>
      </c>
      <c r="AA68" s="13">
        <f>SUM(Q68:Z68)</f>
        <v>58800</v>
      </c>
      <c r="AC68" s="76"/>
    </row>
    <row r="69" spans="1:29" x14ac:dyDescent="0.25">
      <c r="A69" s="21" t="s">
        <v>56</v>
      </c>
      <c r="B69" s="3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2">
        <f t="shared" ref="Q69:Z69" si="47">Q41</f>
        <v>0</v>
      </c>
      <c r="R69" s="12">
        <f t="shared" si="47"/>
        <v>0</v>
      </c>
      <c r="S69" s="12">
        <f t="shared" si="47"/>
        <v>0</v>
      </c>
      <c r="T69" s="12">
        <f t="shared" si="47"/>
        <v>1680</v>
      </c>
      <c r="U69" s="12">
        <f t="shared" si="47"/>
        <v>1680</v>
      </c>
      <c r="V69" s="12">
        <f t="shared" si="47"/>
        <v>1680</v>
      </c>
      <c r="W69" s="12">
        <f t="shared" si="47"/>
        <v>1680</v>
      </c>
      <c r="X69" s="12">
        <f t="shared" si="47"/>
        <v>1680</v>
      </c>
      <c r="Y69" s="12">
        <f t="shared" si="47"/>
        <v>1680</v>
      </c>
      <c r="Z69" s="12">
        <f t="shared" si="47"/>
        <v>1680</v>
      </c>
      <c r="AA69" s="13">
        <f>SUM(Q69:Z69)</f>
        <v>11760</v>
      </c>
      <c r="AC69" s="76"/>
    </row>
    <row r="70" spans="1:29" x14ac:dyDescent="0.25">
      <c r="A70" s="21" t="s">
        <v>57</v>
      </c>
      <c r="B70" s="3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2">
        <f t="shared" ref="Q70:Z70" si="48">Q48</f>
        <v>0</v>
      </c>
      <c r="R70" s="12">
        <f t="shared" si="48"/>
        <v>0</v>
      </c>
      <c r="S70" s="12">
        <f t="shared" si="48"/>
        <v>0</v>
      </c>
      <c r="T70" s="12">
        <f t="shared" si="48"/>
        <v>2630.4</v>
      </c>
      <c r="U70" s="12">
        <f t="shared" si="48"/>
        <v>2630.4</v>
      </c>
      <c r="V70" s="12">
        <f t="shared" si="48"/>
        <v>2630.4</v>
      </c>
      <c r="W70" s="12">
        <f t="shared" si="48"/>
        <v>2630.4</v>
      </c>
      <c r="X70" s="12">
        <f t="shared" si="48"/>
        <v>2630.4</v>
      </c>
      <c r="Y70" s="12">
        <f t="shared" si="48"/>
        <v>2630.4</v>
      </c>
      <c r="Z70" s="12">
        <f t="shared" si="48"/>
        <v>2630.4</v>
      </c>
      <c r="AA70" s="13">
        <f t="shared" si="44"/>
        <v>18412.8</v>
      </c>
      <c r="AC70" s="76"/>
    </row>
    <row r="71" spans="1:29" x14ac:dyDescent="0.25">
      <c r="A71" s="21" t="s">
        <v>59</v>
      </c>
      <c r="B71" s="3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2">
        <f t="shared" ref="Q71:Z71" si="49">Q53</f>
        <v>0</v>
      </c>
      <c r="R71" s="12">
        <f t="shared" si="49"/>
        <v>0</v>
      </c>
      <c r="S71" s="12">
        <f t="shared" si="49"/>
        <v>0</v>
      </c>
      <c r="T71" s="12">
        <f t="shared" si="49"/>
        <v>3120</v>
      </c>
      <c r="U71" s="12">
        <f t="shared" si="49"/>
        <v>120</v>
      </c>
      <c r="V71" s="12">
        <f t="shared" si="49"/>
        <v>120</v>
      </c>
      <c r="W71" s="12">
        <f t="shared" si="49"/>
        <v>120</v>
      </c>
      <c r="X71" s="12">
        <f t="shared" si="49"/>
        <v>120</v>
      </c>
      <c r="Y71" s="12">
        <f t="shared" si="49"/>
        <v>120</v>
      </c>
      <c r="Z71" s="12">
        <f t="shared" si="49"/>
        <v>120</v>
      </c>
      <c r="AA71" s="13">
        <f t="shared" si="44"/>
        <v>3840</v>
      </c>
      <c r="AC71" s="76"/>
    </row>
    <row r="72" spans="1:29" x14ac:dyDescent="0.25">
      <c r="A72" s="21" t="s">
        <v>61</v>
      </c>
      <c r="B72" s="3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2">
        <f t="shared" ref="Q72:Z72" si="50">Q34</f>
        <v>0</v>
      </c>
      <c r="R72" s="12">
        <f t="shared" si="50"/>
        <v>36</v>
      </c>
      <c r="S72" s="12">
        <f t="shared" si="50"/>
        <v>29.52</v>
      </c>
      <c r="T72" s="12">
        <f t="shared" si="50"/>
        <v>24.206400000000002</v>
      </c>
      <c r="U72" s="12">
        <f t="shared" si="50"/>
        <v>19.849247999999999</v>
      </c>
      <c r="V72" s="12">
        <f t="shared" si="50"/>
        <v>16.276383360000001</v>
      </c>
      <c r="W72" s="12">
        <f t="shared" si="50"/>
        <v>13.346634355199999</v>
      </c>
      <c r="X72" s="12">
        <f t="shared" si="50"/>
        <v>10.944240171264001</v>
      </c>
      <c r="Y72" s="12">
        <f t="shared" si="50"/>
        <v>8.9742769404364804</v>
      </c>
      <c r="Z72" s="12">
        <f t="shared" si="50"/>
        <v>7.3589070911579162</v>
      </c>
      <c r="AA72" s="13">
        <f t="shared" si="44"/>
        <v>166.47608991805839</v>
      </c>
      <c r="AC72" s="76"/>
    </row>
    <row r="73" spans="1:29" x14ac:dyDescent="0.25">
      <c r="A73" s="21" t="s">
        <v>50</v>
      </c>
      <c r="B73" s="3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2">
        <f t="shared" ref="Q73:Z73" si="51">Q58</f>
        <v>0</v>
      </c>
      <c r="R73" s="12">
        <f t="shared" si="51"/>
        <v>0</v>
      </c>
      <c r="S73" s="12">
        <f t="shared" si="51"/>
        <v>0</v>
      </c>
      <c r="T73" s="12">
        <f t="shared" si="51"/>
        <v>0</v>
      </c>
      <c r="U73" s="12">
        <f t="shared" si="51"/>
        <v>0</v>
      </c>
      <c r="V73" s="12">
        <f t="shared" si="51"/>
        <v>0</v>
      </c>
      <c r="W73" s="12">
        <f t="shared" si="51"/>
        <v>0</v>
      </c>
      <c r="X73" s="12">
        <f t="shared" si="51"/>
        <v>627.52799999999979</v>
      </c>
      <c r="Y73" s="12">
        <f t="shared" si="51"/>
        <v>793.92000000000007</v>
      </c>
      <c r="Z73" s="12">
        <f t="shared" si="51"/>
        <v>793.92000000000007</v>
      </c>
      <c r="AA73" s="13">
        <f t="shared" si="44"/>
        <v>2215.3679999999999</v>
      </c>
      <c r="AC73" s="76"/>
    </row>
    <row r="74" spans="1:29" x14ac:dyDescent="0.25">
      <c r="A74" s="23" t="s">
        <v>10</v>
      </c>
      <c r="B74" s="3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12">
        <f>Q68+Q72-Q65-Q66-Q67-Q69-Q70-Q71-Q73</f>
        <v>-4795.4053333333331</v>
      </c>
      <c r="R74" s="12">
        <f t="shared" ref="R74:Z74" si="52">R68+R72-R65-R66-R67-R69-R70-R71-R73</f>
        <v>-4792.5133333333333</v>
      </c>
      <c r="S74" s="12">
        <f t="shared" si="52"/>
        <v>-2856.9213333333337</v>
      </c>
      <c r="T74" s="12">
        <f t="shared" si="52"/>
        <v>-2006.193600000001</v>
      </c>
      <c r="U74" s="12">
        <f t="shared" si="52"/>
        <v>3989.4492480000008</v>
      </c>
      <c r="V74" s="12">
        <f t="shared" si="52"/>
        <v>3985.8763833600005</v>
      </c>
      <c r="W74" s="12">
        <f t="shared" si="52"/>
        <v>3982.9466343552012</v>
      </c>
      <c r="X74" s="12">
        <f t="shared" si="52"/>
        <v>3353.0162401712646</v>
      </c>
      <c r="Y74" s="12">
        <f t="shared" si="52"/>
        <v>3184.6542769404368</v>
      </c>
      <c r="Z74" s="12">
        <f t="shared" si="52"/>
        <v>3183.0389070911588</v>
      </c>
      <c r="AA74" s="13">
        <f t="shared" si="44"/>
        <v>7227.9480899180617</v>
      </c>
      <c r="AC74" s="12"/>
    </row>
    <row r="75" spans="1:29" ht="8.25" customHeigh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6"/>
    </row>
    <row r="76" spans="1:29" x14ac:dyDescent="0.25">
      <c r="A76" s="21" t="s">
        <v>9</v>
      </c>
      <c r="B76" s="3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8">
        <f>1/SQRT(1+B16)</f>
        <v>0.95472740862445182</v>
      </c>
      <c r="R76" s="28">
        <f t="shared" ref="R76:Z76" si="53">Q76/(1+$B16)</f>
        <v>0.87023825741874816</v>
      </c>
      <c r="S76" s="28">
        <f t="shared" si="53"/>
        <v>0.79322602224894745</v>
      </c>
      <c r="T76" s="28">
        <f t="shared" si="53"/>
        <v>0.72302902912957157</v>
      </c>
      <c r="U76" s="28">
        <f t="shared" si="53"/>
        <v>0.65904415929509619</v>
      </c>
      <c r="V76" s="28">
        <f t="shared" si="53"/>
        <v>0.60072166732207888</v>
      </c>
      <c r="W76" s="28">
        <f t="shared" si="53"/>
        <v>0.54756045782454976</v>
      </c>
      <c r="X76" s="28">
        <f t="shared" si="53"/>
        <v>0.4991037801409613</v>
      </c>
      <c r="Y76" s="28">
        <f t="shared" si="53"/>
        <v>0.45493530402229215</v>
      </c>
      <c r="Z76" s="28">
        <f t="shared" si="53"/>
        <v>0.41467554260439021</v>
      </c>
      <c r="AA76" s="13"/>
      <c r="AB76" s="12"/>
    </row>
    <row r="77" spans="1:29" ht="15.75" x14ac:dyDescent="0.25">
      <c r="A77" s="21" t="s">
        <v>11</v>
      </c>
      <c r="B77" s="3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2">
        <f>Q74*Q76</f>
        <v>-4578.3049071972091</v>
      </c>
      <c r="R77" s="12">
        <f t="shared" ref="R77:Z77" si="54">R74*R76</f>
        <v>-4170.628451856116</v>
      </c>
      <c r="S77" s="12">
        <f t="shared" si="54"/>
        <v>-2266.1843451181594</v>
      </c>
      <c r="T77" s="12">
        <f t="shared" si="54"/>
        <v>-1450.5362108539607</v>
      </c>
      <c r="U77" s="12">
        <f t="shared" si="54"/>
        <v>2629.2232256986144</v>
      </c>
      <c r="V77" s="12">
        <f t="shared" si="54"/>
        <v>2394.4023067517173</v>
      </c>
      <c r="W77" s="12">
        <f t="shared" si="54"/>
        <v>2180.9040825982834</v>
      </c>
      <c r="X77" s="12">
        <f t="shared" si="54"/>
        <v>1673.5030803435116</v>
      </c>
      <c r="Y77" s="12">
        <f t="shared" si="54"/>
        <v>1448.8116616857906</v>
      </c>
      <c r="Z77" s="12">
        <f t="shared" si="54"/>
        <v>1319.9283859289114</v>
      </c>
      <c r="AA77" s="26">
        <f>SUM(Q77:Z77)</f>
        <v>-818.88117201861564</v>
      </c>
    </row>
    <row r="78" spans="1:29" x14ac:dyDescent="0.25">
      <c r="A78" s="23" t="s">
        <v>12</v>
      </c>
      <c r="B78" s="39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2">
        <f>Q77</f>
        <v>-4578.3049071972091</v>
      </c>
      <c r="R78" s="12">
        <f>Q78+R77</f>
        <v>-8748.9333590533242</v>
      </c>
      <c r="S78" s="12">
        <f t="shared" ref="S78:U78" si="55">R78+S77</f>
        <v>-11015.117704171484</v>
      </c>
      <c r="T78" s="12">
        <f t="shared" si="55"/>
        <v>-12465.653915025445</v>
      </c>
      <c r="U78" s="12">
        <f t="shared" si="55"/>
        <v>-9836.4306893268295</v>
      </c>
      <c r="V78" s="12">
        <f t="shared" ref="V78" si="56">U78+V77</f>
        <v>-7442.0283825751121</v>
      </c>
      <c r="W78" s="12">
        <f t="shared" ref="W78" si="57">V78+W77</f>
        <v>-5261.1242999768292</v>
      </c>
      <c r="X78" s="12">
        <f t="shared" ref="X78" si="58">W78+X77</f>
        <v>-3587.6212196333177</v>
      </c>
      <c r="Y78" s="12">
        <f t="shared" ref="Y78" si="59">X78+Y77</f>
        <v>-2138.8095579475271</v>
      </c>
      <c r="Z78" s="12">
        <f t="shared" ref="Z78" si="60">Y78+Z77</f>
        <v>-818.88117201861564</v>
      </c>
      <c r="AA78" s="13"/>
      <c r="AB78" s="12"/>
    </row>
    <row r="79" spans="1:29" ht="6.75" customHeight="1" x14ac:dyDescent="0.25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9"/>
      <c r="AB79" s="5"/>
    </row>
    <row r="81" spans="1:2" x14ac:dyDescent="0.25">
      <c r="A81" s="25" t="s">
        <v>7</v>
      </c>
      <c r="B81" s="25"/>
    </row>
    <row r="82" spans="1:2" x14ac:dyDescent="0.25">
      <c r="A82" t="s">
        <v>103</v>
      </c>
    </row>
    <row r="83" spans="1:2" x14ac:dyDescent="0.25">
      <c r="A83" t="s">
        <v>104</v>
      </c>
    </row>
    <row r="84" spans="1:2" x14ac:dyDescent="0.25">
      <c r="A84" t="s">
        <v>105</v>
      </c>
    </row>
    <row r="85" spans="1:2" x14ac:dyDescent="0.25">
      <c r="A85" t="s">
        <v>106</v>
      </c>
    </row>
    <row r="86" spans="1:2" x14ac:dyDescent="0.25">
      <c r="A86" t="s">
        <v>107</v>
      </c>
    </row>
    <row r="87" spans="1:2" x14ac:dyDescent="0.25">
      <c r="A87" t="s">
        <v>112</v>
      </c>
    </row>
  </sheetData>
  <conditionalFormatting sqref="AB40:AB42 AB45:AB48 AB51:AB53 AB56:AB58 AB35:AB37 AB22:AB30">
    <cfRule type="cellIs" dxfId="4" priority="5" operator="notEqual">
      <formula>0</formula>
    </cfRule>
  </conditionalFormatting>
  <conditionalFormatting sqref="O22:O27 O29">
    <cfRule type="cellIs" dxfId="3" priority="4" operator="notEqual">
      <formula>1</formula>
    </cfRule>
  </conditionalFormatting>
  <conditionalFormatting sqref="O51">
    <cfRule type="cellIs" dxfId="2" priority="3" operator="notEqual">
      <formula>1</formula>
    </cfRule>
  </conditionalFormatting>
  <conditionalFormatting sqref="O40:O41 O45:O47 O52">
    <cfRule type="cellIs" dxfId="1" priority="2" operator="notEqual">
      <formula>$B$6</formula>
    </cfRule>
  </conditionalFormatting>
  <conditionalFormatting sqref="O37">
    <cfRule type="cellIs" dxfId="0" priority="1" operator="notEqual">
      <formula>1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Q28:Z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U21"/>
  <sheetViews>
    <sheetView workbookViewId="0">
      <selection activeCell="J22" sqref="J22"/>
    </sheetView>
  </sheetViews>
  <sheetFormatPr defaultRowHeight="15" x14ac:dyDescent="0.25"/>
  <cols>
    <col min="1" max="1" width="3.42578125" customWidth="1"/>
    <col min="3" max="3" width="16.7109375" customWidth="1"/>
    <col min="4" max="14" width="7.7109375" customWidth="1"/>
    <col min="22" max="22" width="9.140625" customWidth="1"/>
  </cols>
  <sheetData>
    <row r="3" spans="1:21" ht="16.5" customHeight="1" x14ac:dyDescent="0.25">
      <c r="A3" s="27" t="s">
        <v>88</v>
      </c>
      <c r="B3" s="2"/>
      <c r="C3" s="35"/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9" t="s">
        <v>5</v>
      </c>
    </row>
    <row r="4" spans="1:21" ht="6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21" x14ac:dyDescent="0.25">
      <c r="A5" s="75" t="s">
        <v>92</v>
      </c>
      <c r="B5" s="38" t="s">
        <v>82</v>
      </c>
      <c r="C5" s="38"/>
      <c r="D5" s="12">
        <v>4302.0720000000001</v>
      </c>
      <c r="E5" s="12">
        <v>4095.18</v>
      </c>
      <c r="F5" s="12">
        <v>2313.1080000000002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3">
        <v>10710.36</v>
      </c>
      <c r="U5" s="12"/>
    </row>
    <row r="6" spans="1:21" x14ac:dyDescent="0.25">
      <c r="A6" s="75" t="s">
        <v>93</v>
      </c>
      <c r="B6" s="38" t="s">
        <v>90</v>
      </c>
      <c r="C6" s="38"/>
      <c r="D6" s="12">
        <v>333.33333333333331</v>
      </c>
      <c r="E6" s="12">
        <v>333.33333333333331</v>
      </c>
      <c r="F6" s="12">
        <v>333.33333333333331</v>
      </c>
      <c r="G6" s="12">
        <v>3000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3">
        <v>4000</v>
      </c>
      <c r="U6" s="12"/>
    </row>
    <row r="7" spans="1:21" x14ac:dyDescent="0.25">
      <c r="A7" s="75" t="s">
        <v>94</v>
      </c>
      <c r="B7" s="38" t="s">
        <v>81</v>
      </c>
      <c r="C7" s="38"/>
      <c r="D7" s="12">
        <v>160</v>
      </c>
      <c r="E7" s="12">
        <v>400</v>
      </c>
      <c r="F7" s="12">
        <v>240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3">
        <v>800</v>
      </c>
      <c r="U7" s="12"/>
    </row>
    <row r="8" spans="1:21" x14ac:dyDescent="0.25">
      <c r="A8" s="75" t="s">
        <v>95</v>
      </c>
      <c r="B8" s="39" t="s">
        <v>83</v>
      </c>
      <c r="C8" s="38"/>
      <c r="D8" s="12">
        <v>0</v>
      </c>
      <c r="E8" s="12">
        <v>0</v>
      </c>
      <c r="F8" s="12">
        <v>0</v>
      </c>
      <c r="G8" s="12">
        <v>8400</v>
      </c>
      <c r="H8" s="12">
        <v>8400</v>
      </c>
      <c r="I8" s="12">
        <v>8400</v>
      </c>
      <c r="J8" s="12">
        <v>8400</v>
      </c>
      <c r="K8" s="12">
        <v>8400</v>
      </c>
      <c r="L8" s="12">
        <v>8400</v>
      </c>
      <c r="M8" s="12">
        <v>8400</v>
      </c>
      <c r="N8" s="13">
        <v>58800</v>
      </c>
      <c r="U8" s="12"/>
    </row>
    <row r="9" spans="1:21" x14ac:dyDescent="0.25">
      <c r="A9" s="75" t="s">
        <v>96</v>
      </c>
      <c r="B9" s="38" t="s">
        <v>84</v>
      </c>
      <c r="C9" s="38"/>
      <c r="D9" s="12">
        <v>0</v>
      </c>
      <c r="E9" s="12">
        <v>0</v>
      </c>
      <c r="F9" s="12">
        <v>0</v>
      </c>
      <c r="G9" s="12">
        <v>1680</v>
      </c>
      <c r="H9" s="12">
        <v>1680</v>
      </c>
      <c r="I9" s="12">
        <v>1680</v>
      </c>
      <c r="J9" s="12">
        <v>1680</v>
      </c>
      <c r="K9" s="12">
        <v>1680</v>
      </c>
      <c r="L9" s="12">
        <v>1680</v>
      </c>
      <c r="M9" s="12">
        <v>1680</v>
      </c>
      <c r="N9" s="13">
        <v>11760</v>
      </c>
      <c r="U9" s="12"/>
    </row>
    <row r="10" spans="1:21" x14ac:dyDescent="0.25">
      <c r="A10" s="75" t="s">
        <v>97</v>
      </c>
      <c r="B10" s="38" t="s">
        <v>85</v>
      </c>
      <c r="C10" s="38"/>
      <c r="D10" s="12">
        <v>0</v>
      </c>
      <c r="E10" s="12">
        <v>0</v>
      </c>
      <c r="F10" s="12">
        <v>0</v>
      </c>
      <c r="G10" s="12">
        <v>2630.4</v>
      </c>
      <c r="H10" s="12">
        <v>2630.4</v>
      </c>
      <c r="I10" s="12">
        <v>2630.4</v>
      </c>
      <c r="J10" s="12">
        <v>2630.4</v>
      </c>
      <c r="K10" s="12">
        <v>2630.4</v>
      </c>
      <c r="L10" s="12">
        <v>2630.4</v>
      </c>
      <c r="M10" s="12">
        <v>2630.4</v>
      </c>
      <c r="N10" s="13">
        <v>18412.8</v>
      </c>
      <c r="U10" s="12"/>
    </row>
    <row r="11" spans="1:21" x14ac:dyDescent="0.25">
      <c r="A11" s="75" t="s">
        <v>98</v>
      </c>
      <c r="B11" s="38" t="s">
        <v>86</v>
      </c>
      <c r="C11" s="38"/>
      <c r="D11" s="12">
        <v>0</v>
      </c>
      <c r="E11" s="12">
        <v>0</v>
      </c>
      <c r="F11" s="12">
        <v>0</v>
      </c>
      <c r="G11" s="12">
        <v>3120</v>
      </c>
      <c r="H11" s="12">
        <v>120</v>
      </c>
      <c r="I11" s="12">
        <v>120</v>
      </c>
      <c r="J11" s="12">
        <v>120</v>
      </c>
      <c r="K11" s="12">
        <v>120</v>
      </c>
      <c r="L11" s="12">
        <v>120</v>
      </c>
      <c r="M11" s="12">
        <v>120</v>
      </c>
      <c r="N11" s="13">
        <v>3840</v>
      </c>
      <c r="U11" s="12"/>
    </row>
    <row r="12" spans="1:21" x14ac:dyDescent="0.25">
      <c r="A12" s="75" t="s">
        <v>99</v>
      </c>
      <c r="B12" s="38" t="s">
        <v>61</v>
      </c>
      <c r="C12" s="38"/>
      <c r="D12" s="12">
        <v>0</v>
      </c>
      <c r="E12" s="12">
        <v>36</v>
      </c>
      <c r="F12" s="12">
        <v>29.52</v>
      </c>
      <c r="G12" s="12">
        <v>24.206400000000002</v>
      </c>
      <c r="H12" s="12">
        <v>19.849247999999999</v>
      </c>
      <c r="I12" s="12">
        <v>16.276383360000001</v>
      </c>
      <c r="J12" s="12">
        <v>13.346634355199999</v>
      </c>
      <c r="K12" s="12">
        <v>10.944240171264001</v>
      </c>
      <c r="L12" s="12">
        <v>8.9742769404364804</v>
      </c>
      <c r="M12" s="12">
        <v>7.3589070911579162</v>
      </c>
      <c r="N12" s="13">
        <v>166.47608991805839</v>
      </c>
      <c r="U12" s="12"/>
    </row>
    <row r="13" spans="1:21" x14ac:dyDescent="0.25">
      <c r="A13" s="75" t="s">
        <v>100</v>
      </c>
      <c r="B13" s="38" t="s">
        <v>50</v>
      </c>
      <c r="C13" s="38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627.52799999999979</v>
      </c>
      <c r="L13" s="12">
        <v>793.92000000000007</v>
      </c>
      <c r="M13" s="12">
        <v>793.92000000000007</v>
      </c>
      <c r="N13" s="13">
        <v>2215.3679999999999</v>
      </c>
      <c r="U13" s="12"/>
    </row>
    <row r="14" spans="1:21" x14ac:dyDescent="0.25">
      <c r="A14" s="23" t="s">
        <v>101</v>
      </c>
      <c r="B14" s="38"/>
      <c r="C14" s="5"/>
      <c r="D14" s="12">
        <v>-4795.4053333333331</v>
      </c>
      <c r="E14" s="12">
        <v>-4792.5133333333333</v>
      </c>
      <c r="F14" s="12">
        <v>-2856.9213333333337</v>
      </c>
      <c r="G14" s="12">
        <v>-2006.193600000001</v>
      </c>
      <c r="H14" s="12">
        <v>3989.4492480000008</v>
      </c>
      <c r="I14" s="12">
        <v>3985.8763833600005</v>
      </c>
      <c r="J14" s="12">
        <v>3982.9466343552012</v>
      </c>
      <c r="K14" s="12">
        <v>3353.0162401712646</v>
      </c>
      <c r="L14" s="12">
        <v>3184.6542769404368</v>
      </c>
      <c r="M14" s="12">
        <v>3183.0389070911588</v>
      </c>
      <c r="N14" s="13">
        <v>7227.9480899180617</v>
      </c>
    </row>
    <row r="15" spans="1:21" ht="6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21" x14ac:dyDescent="0.25">
      <c r="A16" s="21" t="s">
        <v>9</v>
      </c>
      <c r="B16" s="38"/>
      <c r="C16" s="5"/>
      <c r="D16" s="74">
        <v>0.95472740862445182</v>
      </c>
      <c r="E16" s="74">
        <v>0.87023825741874816</v>
      </c>
      <c r="F16" s="74">
        <v>0.79322602224894745</v>
      </c>
      <c r="G16" s="74">
        <v>0.72302902912957157</v>
      </c>
      <c r="H16" s="74">
        <v>0.65904415929509619</v>
      </c>
      <c r="I16" s="74">
        <v>0.60072166732207888</v>
      </c>
      <c r="J16" s="74">
        <v>0.54756045782454976</v>
      </c>
      <c r="K16" s="74">
        <v>0.4991037801409613</v>
      </c>
      <c r="L16" s="74">
        <v>0.45493530402229215</v>
      </c>
      <c r="M16" s="74">
        <v>0.41467554260439021</v>
      </c>
      <c r="N16" s="13"/>
    </row>
    <row r="17" spans="1:16" ht="15.75" x14ac:dyDescent="0.25">
      <c r="A17" s="21" t="s">
        <v>89</v>
      </c>
      <c r="B17" s="38"/>
      <c r="C17" s="5"/>
      <c r="D17" s="12">
        <v>-4578.3049071972091</v>
      </c>
      <c r="E17" s="12">
        <v>-4170.628451856116</v>
      </c>
      <c r="F17" s="12">
        <v>-2266.1843451181594</v>
      </c>
      <c r="G17" s="12">
        <v>-1450.5362108539607</v>
      </c>
      <c r="H17" s="12">
        <v>2629.2232256986144</v>
      </c>
      <c r="I17" s="12">
        <v>2394.4023067517173</v>
      </c>
      <c r="J17" s="12">
        <v>2180.9040825982834</v>
      </c>
      <c r="K17" s="12">
        <v>1673.5030803435116</v>
      </c>
      <c r="L17" s="12">
        <v>1448.8116616857906</v>
      </c>
      <c r="M17" s="12">
        <v>1319.9283859289114</v>
      </c>
      <c r="N17" s="73">
        <v>-818.88117201861564</v>
      </c>
    </row>
    <row r="18" spans="1:16" x14ac:dyDescent="0.25">
      <c r="A18" s="23" t="s">
        <v>87</v>
      </c>
      <c r="B18" s="39"/>
      <c r="C18" s="5"/>
      <c r="D18" s="12">
        <v>-4578.3049071972091</v>
      </c>
      <c r="E18" s="12">
        <v>-8748.9333590533242</v>
      </c>
      <c r="F18" s="12">
        <v>-11015.117704171484</v>
      </c>
      <c r="G18" s="12">
        <v>-12465.653915025445</v>
      </c>
      <c r="H18" s="12">
        <v>-9836.4306893268295</v>
      </c>
      <c r="I18" s="12">
        <v>-7442.0283825751121</v>
      </c>
      <c r="J18" s="12">
        <v>-5261.1242999768292</v>
      </c>
      <c r="K18" s="12">
        <v>-3587.6212196333177</v>
      </c>
      <c r="L18" s="12">
        <v>-2138.8095579475271</v>
      </c>
      <c r="M18" s="12">
        <v>-818.88117201861564</v>
      </c>
      <c r="N18" s="13"/>
    </row>
    <row r="19" spans="1:16" ht="3" customHeight="1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</row>
    <row r="21" spans="1:16" x14ac:dyDescent="0.25">
      <c r="P21" s="7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20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38100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0" r:id="rId4"/>
      </mc:Fallback>
    </mc:AlternateContent>
    <mc:AlternateContent xmlns:mc="http://schemas.openxmlformats.org/markup-compatibility/2006">
      <mc:Choice Requires="x14">
        <oleObject progId="Packager Shell Object" shapeId="4121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438150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2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2015-11-06T17:39:56Z</dcterms:modified>
</cp:coreProperties>
</file>